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25" windowWidth="11055" windowHeight="6300" tabRatio="601" activeTab="1"/>
  </bookViews>
  <sheets>
    <sheet name="I.T.Cal" sheetId="3" r:id="rId1"/>
    <sheet name="GA55" sheetId="2" r:id="rId2"/>
  </sheets>
  <definedNames>
    <definedName name="_xlnm._FilterDatabase" localSheetId="1" hidden="1">'GA55'!$C$2:$T$80</definedName>
    <definedName name="_xlnm._FilterDatabase" localSheetId="0" hidden="1">I.T.Cal!$A$2:$N$69</definedName>
    <definedName name="_xlnm.Print_Area" localSheetId="1">'GA55'!$C$1:$AA$59</definedName>
    <definedName name="_xlnm.Print_Area" localSheetId="0">I.T.Cal!$B$1:$J$69</definedName>
  </definedNames>
  <calcPr calcId="124519"/>
</workbook>
</file>

<file path=xl/calcChain.xml><?xml version="1.0" encoding="utf-8"?>
<calcChain xmlns="http://schemas.openxmlformats.org/spreadsheetml/2006/main">
  <c r="T8" i="2"/>
  <c r="H8"/>
  <c r="AM7"/>
  <c r="G8"/>
  <c r="O9"/>
  <c r="O22" l="1"/>
  <c r="W27"/>
  <c r="W18"/>
  <c r="I45" i="3"/>
  <c r="I37"/>
  <c r="I35"/>
  <c r="K34"/>
  <c r="K35"/>
  <c r="K36"/>
  <c r="K37"/>
  <c r="K38"/>
  <c r="K39"/>
  <c r="I39" s="1"/>
  <c r="K40"/>
  <c r="K41"/>
  <c r="I41" s="1"/>
  <c r="K42"/>
  <c r="K43"/>
  <c r="I43" s="1"/>
  <c r="K44"/>
  <c r="K45"/>
  <c r="K33"/>
  <c r="I33" s="1"/>
  <c r="K18"/>
  <c r="I18" s="1"/>
  <c r="I14"/>
  <c r="K14"/>
  <c r="O57" l="1"/>
  <c r="AK9" i="2"/>
  <c r="I9"/>
  <c r="I10"/>
  <c r="L9"/>
  <c r="L10" s="1"/>
  <c r="L11" s="1"/>
  <c r="L12" s="1"/>
  <c r="L13" s="1"/>
  <c r="L14" s="1"/>
  <c r="L15" s="1"/>
  <c r="L16" s="1"/>
  <c r="L17" s="1"/>
  <c r="L18" s="1"/>
  <c r="L19" s="1"/>
  <c r="M9"/>
  <c r="O10"/>
  <c r="O11" s="1"/>
  <c r="O12" s="1"/>
  <c r="O13" s="1"/>
  <c r="O14" s="1"/>
  <c r="O15" s="1"/>
  <c r="O16" s="1"/>
  <c r="O17" s="1"/>
  <c r="O18" s="1"/>
  <c r="O19" s="1"/>
  <c r="P9"/>
  <c r="Q9"/>
  <c r="R9"/>
  <c r="S9"/>
  <c r="W9"/>
  <c r="M10"/>
  <c r="P10"/>
  <c r="Q10"/>
  <c r="R10"/>
  <c r="S10"/>
  <c r="M11"/>
  <c r="P11"/>
  <c r="Q11"/>
  <c r="R11"/>
  <c r="S11"/>
  <c r="M12"/>
  <c r="P12"/>
  <c r="Q12"/>
  <c r="R12"/>
  <c r="S12"/>
  <c r="M13"/>
  <c r="P13"/>
  <c r="Q13"/>
  <c r="R13"/>
  <c r="S13"/>
  <c r="M14"/>
  <c r="P14"/>
  <c r="Q14"/>
  <c r="R14"/>
  <c r="S14"/>
  <c r="M15"/>
  <c r="P15"/>
  <c r="Q15"/>
  <c r="R15"/>
  <c r="S15"/>
  <c r="M16"/>
  <c r="P16"/>
  <c r="Q16"/>
  <c r="R16"/>
  <c r="S16"/>
  <c r="M17"/>
  <c r="P17"/>
  <c r="Q17"/>
  <c r="R17"/>
  <c r="S17"/>
  <c r="M18"/>
  <c r="P18"/>
  <c r="Q18"/>
  <c r="R18"/>
  <c r="S18"/>
  <c r="M19"/>
  <c r="P19"/>
  <c r="Q19"/>
  <c r="R19"/>
  <c r="S19"/>
  <c r="K21"/>
  <c r="Y21" s="1"/>
  <c r="X21"/>
  <c r="K22"/>
  <c r="X22"/>
  <c r="X24"/>
  <c r="K25"/>
  <c r="Y25" s="1"/>
  <c r="X25"/>
  <c r="E26"/>
  <c r="F26"/>
  <c r="M26"/>
  <c r="N26"/>
  <c r="P26"/>
  <c r="Q26"/>
  <c r="R26"/>
  <c r="S26"/>
  <c r="J27"/>
  <c r="K27"/>
  <c r="L27"/>
  <c r="AE30"/>
  <c r="AH31"/>
  <c r="AI31"/>
  <c r="H32"/>
  <c r="H37"/>
  <c r="B3" i="3"/>
  <c r="I3"/>
  <c r="E4"/>
  <c r="I4"/>
  <c r="E24"/>
  <c r="H25"/>
  <c r="I11" i="2"/>
  <c r="I12"/>
  <c r="I13"/>
  <c r="I14"/>
  <c r="I15"/>
  <c r="I16"/>
  <c r="I17"/>
  <c r="I18"/>
  <c r="I19"/>
  <c r="I26"/>
  <c r="L26" l="1"/>
  <c r="E23" i="3" s="1"/>
  <c r="W10" i="2"/>
  <c r="W11" s="1"/>
  <c r="W12" s="1"/>
  <c r="Y22"/>
  <c r="I47" i="3"/>
  <c r="W14" i="2" l="1"/>
  <c r="W15" s="1"/>
  <c r="W16" s="1"/>
  <c r="W13"/>
  <c r="W26"/>
  <c r="I61" i="3" s="1"/>
  <c r="AN8" i="2"/>
  <c r="J8" s="1"/>
  <c r="D9"/>
  <c r="T9" s="1"/>
  <c r="H9" l="1"/>
  <c r="G9"/>
  <c r="D10"/>
  <c r="T10" s="1"/>
  <c r="K8"/>
  <c r="V9"/>
  <c r="V26" s="1"/>
  <c r="H23" i="3" s="1"/>
  <c r="AN9" i="2"/>
  <c r="J9" s="1"/>
  <c r="K23"/>
  <c r="G10" l="1"/>
  <c r="H10"/>
  <c r="O23"/>
  <c r="X23" s="1"/>
  <c r="Y23" s="1"/>
  <c r="AN10"/>
  <c r="J10" s="1"/>
  <c r="D11"/>
  <c r="X10"/>
  <c r="X9"/>
  <c r="X8"/>
  <c r="K9"/>
  <c r="H11" l="1"/>
  <c r="G11"/>
  <c r="T11"/>
  <c r="D12"/>
  <c r="AN11"/>
  <c r="J11" s="1"/>
  <c r="K10"/>
  <c r="Y10" s="1"/>
  <c r="Y9"/>
  <c r="Y8"/>
  <c r="H12" l="1"/>
  <c r="G12"/>
  <c r="G20"/>
  <c r="D13"/>
  <c r="T12"/>
  <c r="X12" s="1"/>
  <c r="AN12"/>
  <c r="J12" s="1"/>
  <c r="X11"/>
  <c r="K11"/>
  <c r="K20" l="1"/>
  <c r="O20" s="1"/>
  <c r="AK31"/>
  <c r="G13"/>
  <c r="G24"/>
  <c r="K24" s="1"/>
  <c r="Y24" s="1"/>
  <c r="K12"/>
  <c r="Y12" s="1"/>
  <c r="T13"/>
  <c r="H13"/>
  <c r="AN13"/>
  <c r="J13" s="1"/>
  <c r="D14"/>
  <c r="G14" s="1"/>
  <c r="Y11"/>
  <c r="O26" l="1"/>
  <c r="E27" i="3" s="1"/>
  <c r="K30" s="1"/>
  <c r="X20" i="2"/>
  <c r="Y20" s="1"/>
  <c r="H14"/>
  <c r="AN14"/>
  <c r="J14" s="1"/>
  <c r="T14"/>
  <c r="D15"/>
  <c r="G15" s="1"/>
  <c r="X13"/>
  <c r="K13"/>
  <c r="H31" i="3" l="1"/>
  <c r="K31" s="1"/>
  <c r="I26"/>
  <c r="I31" s="1"/>
  <c r="I48" s="1"/>
  <c r="K14" i="2"/>
  <c r="X14" s="1"/>
  <c r="Y14" s="1"/>
  <c r="Y13"/>
  <c r="AN15"/>
  <c r="J15" s="1"/>
  <c r="D16"/>
  <c r="G16" s="1"/>
  <c r="H15"/>
  <c r="T15"/>
  <c r="K15" l="1"/>
  <c r="H16"/>
  <c r="D17"/>
  <c r="G17" s="1"/>
  <c r="T16"/>
  <c r="X16" s="1"/>
  <c r="K16"/>
  <c r="AN16"/>
  <c r="J16" s="1"/>
  <c r="X15" l="1"/>
  <c r="Y15" s="1"/>
  <c r="U26"/>
  <c r="I12" i="3" s="1"/>
  <c r="Y16" i="2"/>
  <c r="H17"/>
  <c r="AN17"/>
  <c r="J17" s="1"/>
  <c r="T17"/>
  <c r="X17" s="1"/>
  <c r="D18"/>
  <c r="G18" s="1"/>
  <c r="K17" l="1"/>
  <c r="Y17" s="1"/>
  <c r="T18"/>
  <c r="X18" s="1"/>
  <c r="AN18"/>
  <c r="J18" s="1"/>
  <c r="H18"/>
  <c r="D19"/>
  <c r="G19" s="1"/>
  <c r="K18" l="1"/>
  <c r="Y18" s="1"/>
  <c r="H19"/>
  <c r="H26" s="1"/>
  <c r="T19"/>
  <c r="AN19"/>
  <c r="J19" s="1"/>
  <c r="J26" s="1"/>
  <c r="AG31"/>
  <c r="D26"/>
  <c r="X19" l="1"/>
  <c r="X26" s="1"/>
  <c r="T26"/>
  <c r="AJ31"/>
  <c r="AL31" s="1"/>
  <c r="AE31" s="1"/>
  <c r="AE32" s="1"/>
  <c r="AE33" s="1"/>
  <c r="G26"/>
  <c r="H33" s="1"/>
  <c r="H34" s="1"/>
  <c r="H35" s="1"/>
  <c r="H36" s="1"/>
  <c r="K19"/>
  <c r="AE34" l="1"/>
  <c r="AE35"/>
  <c r="K10" i="3" s="1"/>
  <c r="I10" s="1"/>
  <c r="Y19" i="2"/>
  <c r="Y26" s="1"/>
  <c r="K26"/>
  <c r="I5" i="3" s="1"/>
  <c r="K16" l="1"/>
  <c r="I16" s="1"/>
  <c r="I11"/>
  <c r="I19" l="1"/>
  <c r="I49" s="1"/>
  <c r="N57" l="1"/>
  <c r="I50"/>
  <c r="L53" l="1"/>
  <c r="L55"/>
  <c r="K54"/>
  <c r="I54" s="1"/>
  <c r="L54"/>
  <c r="L56"/>
  <c r="L57"/>
  <c r="L58"/>
  <c r="K55"/>
  <c r="I55" s="1"/>
  <c r="K53"/>
  <c r="I53" s="1"/>
  <c r="I56" l="1"/>
  <c r="M53"/>
  <c r="M57"/>
  <c r="M55"/>
  <c r="K57" l="1"/>
  <c r="I57" s="1"/>
  <c r="I58" s="1"/>
  <c r="I59" s="1"/>
  <c r="I60" s="1"/>
  <c r="I62" l="1"/>
  <c r="C67" s="1"/>
  <c r="G67" l="1"/>
  <c r="W63" s="1"/>
  <c r="F67"/>
  <c r="O62"/>
  <c r="W64" l="1"/>
  <c r="I63"/>
</calcChain>
</file>

<file path=xl/comments1.xml><?xml version="1.0" encoding="utf-8"?>
<comments xmlns="http://schemas.openxmlformats.org/spreadsheetml/2006/main">
  <authors>
    <author>ABC</author>
    <author>OM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Edit Office Name for other office Employee
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Fill Employee Name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Fill Designation of Employee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1">
      <text>
        <r>
          <rPr>
            <b/>
            <sz val="9"/>
            <color indexed="81"/>
            <rFont val="Tahoma"/>
            <family val="2"/>
          </rPr>
          <t>Fill PAN No. Of Employee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 xml:space="preserve">Fill Basic Pay of Month March-21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 xml:space="preserve">Fill GPF Amount of Month March 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1">
      <text>
        <r>
          <rPr>
            <b/>
            <sz val="9"/>
            <color indexed="81"/>
            <rFont val="Tahoma"/>
            <family val="2"/>
          </rPr>
          <t>If Change in DA Arrear Amount then fill DA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>Fill Bonus Amount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6774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If Change in DA Arrear Amount then fill DA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1">
      <text>
        <r>
          <rPr>
            <b/>
            <sz val="9"/>
            <color indexed="81"/>
            <rFont val="Tahoma"/>
            <family val="2"/>
          </rPr>
          <t>If Change in HRA Arrear Amount then fill 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<sst xmlns="http://schemas.openxmlformats.org/spreadsheetml/2006/main" count="141" uniqueCount="126">
  <si>
    <t>S.I.</t>
  </si>
  <si>
    <t>G.P.F.</t>
  </si>
  <si>
    <t>B. Pay</t>
  </si>
  <si>
    <t>D. Pay</t>
  </si>
  <si>
    <t>D.A.</t>
  </si>
  <si>
    <t>H.R.A.</t>
  </si>
  <si>
    <t>C.C.A.</t>
  </si>
  <si>
    <t>Total</t>
  </si>
  <si>
    <t>Total Ded.</t>
  </si>
  <si>
    <t>MONTH</t>
  </si>
  <si>
    <t>GAI</t>
  </si>
  <si>
    <t>I.Tax</t>
  </si>
  <si>
    <t>Pan No.</t>
  </si>
  <si>
    <t>patient suffering from cancer or Aids</t>
  </si>
  <si>
    <t>payment Max.10% of Gross salary</t>
  </si>
  <si>
    <t>L.I.C.</t>
  </si>
  <si>
    <t>Signature of Employee</t>
  </si>
  <si>
    <t>HRA Paid as rent</t>
  </si>
  <si>
    <t>B.P.+D.P.+D.A.</t>
  </si>
  <si>
    <t>10% OF B.P.+D.P.+D.A.</t>
  </si>
  <si>
    <t>Total H.R.A.</t>
  </si>
  <si>
    <t>Rebate</t>
  </si>
  <si>
    <t>P.Month</t>
  </si>
  <si>
    <t>Rebatable Amount</t>
  </si>
  <si>
    <t>Bill No.</t>
  </si>
  <si>
    <t>Deductions:</t>
  </si>
  <si>
    <t>Date of enCashment</t>
  </si>
  <si>
    <t>S.I.S.T.</t>
  </si>
  <si>
    <t>Pre.</t>
  </si>
  <si>
    <t>Loan</t>
  </si>
  <si>
    <t>OFFICE  OF  THE  PRINCIPAL  DUNGAR  COLLEGE , BIKANER</t>
  </si>
  <si>
    <t>GA- 55 A</t>
  </si>
  <si>
    <t>GPF No. :</t>
  </si>
  <si>
    <t>S.I. No.</t>
  </si>
  <si>
    <t>Signature of D.D.O.</t>
  </si>
  <si>
    <t>HBA</t>
  </si>
  <si>
    <t>Intt.</t>
  </si>
  <si>
    <t>Net Payable</t>
  </si>
  <si>
    <t xml:space="preserve">Financial Year  :-  </t>
  </si>
  <si>
    <t>I.D. No.</t>
  </si>
  <si>
    <t>abc</t>
  </si>
  <si>
    <t>HRA Rate</t>
  </si>
  <si>
    <t>%</t>
  </si>
  <si>
    <t>Spl. Pay</t>
  </si>
  <si>
    <r>
      <t xml:space="preserve">For D.A. Arrears and Bonus Amount fill in Red  </t>
    </r>
    <r>
      <rPr>
        <b/>
        <sz val="18"/>
        <color indexed="10"/>
        <rFont val="Arial"/>
        <family val="2"/>
      </rPr>
      <t>0</t>
    </r>
  </si>
  <si>
    <r>
      <t xml:space="preserve">For Change in HRA Rate                      Fill HRA Rate in </t>
    </r>
    <r>
      <rPr>
        <b/>
        <sz val="18"/>
        <color indexed="10"/>
        <rFont val="Arial"/>
        <family val="2"/>
      </rPr>
      <t>red</t>
    </r>
  </si>
  <si>
    <r>
      <t xml:space="preserve">For House Rent Rebate Calculation Enter HRA Paid to Owner of House Per Month in Red  </t>
    </r>
    <r>
      <rPr>
        <b/>
        <sz val="16"/>
        <color indexed="10"/>
        <rFont val="Arial"/>
        <family val="2"/>
      </rPr>
      <t>0</t>
    </r>
  </si>
  <si>
    <t>xyz</t>
  </si>
  <si>
    <r>
      <t xml:space="preserve">U/s </t>
    </r>
    <r>
      <rPr>
        <b/>
        <sz val="12"/>
        <rFont val="Arial"/>
        <family val="2"/>
      </rPr>
      <t>80D</t>
    </r>
    <r>
      <rPr>
        <sz val="12"/>
        <rFont val="Arial"/>
        <family val="2"/>
      </rPr>
      <t xml:space="preserve"> Payment to medical Insurance premium -------------------------------------------------------------------------</t>
    </r>
  </si>
  <si>
    <r>
      <t xml:space="preserve">U/s </t>
    </r>
    <r>
      <rPr>
        <b/>
        <sz val="12"/>
        <rFont val="Arial"/>
        <family val="2"/>
      </rPr>
      <t>80 DD</t>
    </r>
    <r>
      <rPr>
        <sz val="12"/>
        <rFont val="Arial"/>
        <family val="2"/>
      </rPr>
      <t xml:space="preserve"> medical treatment of handicaped person-----------------------------------------------------------------------</t>
    </r>
  </si>
  <si>
    <r>
      <t xml:space="preserve">U/s </t>
    </r>
    <r>
      <rPr>
        <b/>
        <sz val="12"/>
        <rFont val="Arial"/>
        <family val="2"/>
      </rPr>
      <t>80 DDB</t>
    </r>
    <r>
      <rPr>
        <sz val="12"/>
        <rFont val="Arial"/>
        <family val="2"/>
      </rPr>
      <t xml:space="preserve"> special deduction of Rs.40,000 to the guardian of a----------------------------------------------------------</t>
    </r>
  </si>
  <si>
    <r>
      <t xml:space="preserve">U/s </t>
    </r>
    <r>
      <rPr>
        <b/>
        <sz val="12"/>
        <rFont val="Arial"/>
        <family val="2"/>
      </rPr>
      <t>80G</t>
    </r>
    <r>
      <rPr>
        <sz val="12"/>
        <rFont val="Arial"/>
        <family val="2"/>
      </rPr>
      <t xml:space="preserve"> Donation to charitable institution 50%&amp;100% of Actual--------------------------------------------------------</t>
    </r>
  </si>
  <si>
    <r>
      <t>U/s</t>
    </r>
    <r>
      <rPr>
        <b/>
        <sz val="12"/>
        <rFont val="Arial"/>
        <family val="2"/>
      </rPr>
      <t xml:space="preserve"> 80E</t>
    </r>
    <r>
      <rPr>
        <sz val="12"/>
        <rFont val="Arial"/>
        <family val="2"/>
      </rPr>
      <t xml:space="preserve"> Higher Education Loan</t>
    </r>
    <r>
      <rPr>
        <sz val="12"/>
        <rFont val="Arial"/>
        <family val="2"/>
      </rPr>
      <t xml:space="preserve"> Intrest  ---------------------------------------------------------------------------------------------------------</t>
    </r>
  </si>
  <si>
    <t>By-  http://www.dungarcollege.ac.in/</t>
  </si>
  <si>
    <t>Arrear/Other</t>
  </si>
  <si>
    <t>House Rent Paid as rent</t>
  </si>
  <si>
    <t xml:space="preserve">          izekf.kr fd;k tkrk gS fd izi= th0,0 55 , esa vafdr dVksfr;ka mDr chesnkj ds osru ls dkVh xbZ gSa A vr bl izek.k Ik= ds vk/kkj ij yqIr dVksfr;ksa dks ØsfMV nsdj Hkqxrku djus dk Je djkosa A bl Hkqxrku dh ftEesnkjh fuEu gLrk{kj drkZ dh gksxh  A </t>
  </si>
  <si>
    <t>Employee Name :</t>
  </si>
  <si>
    <t>Designation:</t>
  </si>
  <si>
    <t>Other -------------------------------------------------------------------------------------------</t>
  </si>
  <si>
    <t>S.Ins.-------------------------------------------------------------------------------------------</t>
  </si>
  <si>
    <r>
      <t>L.I.C.</t>
    </r>
    <r>
      <rPr>
        <b/>
        <sz val="12"/>
        <rFont val="Arial"/>
        <family val="2"/>
      </rPr>
      <t>Salary-------------------------------------------------------------------------------------------</t>
    </r>
  </si>
  <si>
    <t>N.S.C.-------------------------------------------------------------------------------------------</t>
  </si>
  <si>
    <t>PPF-------------------------------------------------------------------------------------------</t>
  </si>
  <si>
    <t>Tution Fees-------------------------------------------------------------------------------------------</t>
  </si>
  <si>
    <t>Investment in the Infrastructure Bond -------------------------------------------------------------------------------------------</t>
  </si>
  <si>
    <t>Total Taxable Income Roundedoff (to ten) ---------------------------------------------------------------------------------------------------------</t>
  </si>
  <si>
    <t>Total Income Tax ---------------------------------------------------------------------------------------------------------</t>
  </si>
  <si>
    <t>Net Income Tax payable ---------------------------------------------------------------------------------------------------------</t>
  </si>
  <si>
    <t>Name  of Employee:</t>
  </si>
  <si>
    <t>G.P.F.-------------------------------------------------------------------------------------------</t>
  </si>
  <si>
    <t>U/s 80CCD(1) Pension Fund-------------------------------------------------------------------------------------------</t>
  </si>
  <si>
    <t>HBA Premium -------------------------------------------------------------------------------------------</t>
  </si>
  <si>
    <t>L.I.C. -------------------------------------------------------------------------------------------</t>
  </si>
  <si>
    <t>Gr.Ins. -------------------------------------------------------------------------------------------</t>
  </si>
  <si>
    <t>Int.On NSC-------------------------------------------------------------------------------------------</t>
  </si>
  <si>
    <t>Surender 15 Days</t>
  </si>
  <si>
    <t>Surcharge 4%( Education Cess) ---------------------------------------------------------------------------------------------------------</t>
  </si>
  <si>
    <r>
      <t>Less</t>
    </r>
    <r>
      <rPr>
        <sz val="12"/>
        <rFont val="Arial"/>
        <family val="2"/>
      </rPr>
      <t xml:space="preserve"> : Deductions: U/S-80 C ,80 CCC &amp; 80CCD  (Max. 1,50,000( </t>
    </r>
    <r>
      <rPr>
        <b/>
        <sz val="12"/>
        <rFont val="Arial"/>
        <family val="2"/>
      </rPr>
      <t>U/S 80 CCE) (Other than 80CCD</t>
    </r>
    <r>
      <rPr>
        <sz val="12"/>
        <rFont val="Arial"/>
        <family val="2"/>
      </rPr>
      <t>(2)</t>
    </r>
    <r>
      <rPr>
        <b/>
        <sz val="12"/>
        <rFont val="Arial"/>
        <family val="2"/>
      </rPr>
      <t>)</t>
    </r>
  </si>
  <si>
    <r>
      <t xml:space="preserve">Income Tax Rebate </t>
    </r>
    <r>
      <rPr>
        <b/>
        <sz val="12"/>
        <rFont val="Arial"/>
        <family val="2"/>
      </rPr>
      <t>U/S 87A</t>
    </r>
    <r>
      <rPr>
        <sz val="12"/>
        <rFont val="Arial"/>
        <family val="2"/>
      </rPr>
      <t xml:space="preserve"> (12500/-) up to Income 5,000,00 ---------------------------------------------------------------------------------------------------------</t>
    </r>
  </si>
  <si>
    <t>By- http://hte.rajasthan.gov.in/college/gcbikaner/announcements</t>
  </si>
  <si>
    <t>for himself and dependent Max. 25,000   for Sr. Citizen Max. 50,0000</t>
  </si>
  <si>
    <t>Max. 75,000  (if Dissability Act 1995 Max. 1,25,000)</t>
  </si>
  <si>
    <r>
      <t xml:space="preserve">U/s </t>
    </r>
    <r>
      <rPr>
        <b/>
        <sz val="12"/>
        <rFont val="Arial"/>
        <family val="2"/>
      </rPr>
      <t>80U</t>
    </r>
    <r>
      <rPr>
        <sz val="12"/>
        <rFont val="Arial"/>
        <family val="2"/>
      </rPr>
      <t xml:space="preserve"> Physically handicaped up to 80% Max.75,000 and Above 80% </t>
    </r>
  </si>
  <si>
    <t>Max.1,25,000-----------------------------------------</t>
  </si>
  <si>
    <r>
      <t>Income up to 2,50,000  ------</t>
    </r>
    <r>
      <rPr>
        <b/>
        <sz val="12"/>
        <rFont val="Arial"/>
        <family val="2"/>
      </rPr>
      <t>Nil</t>
    </r>
    <r>
      <rPr>
        <sz val="12"/>
        <rFont val="Arial"/>
        <family val="2"/>
      </rPr>
      <t xml:space="preserve"> -----------------------------------------------------------------------------------------------</t>
    </r>
  </si>
  <si>
    <r>
      <t>Income up to 5,00,000 to 10,00,000 --</t>
    </r>
    <r>
      <rPr>
        <b/>
        <sz val="12"/>
        <rFont val="Arial"/>
        <family val="2"/>
      </rPr>
      <t>20%</t>
    </r>
    <r>
      <rPr>
        <sz val="12"/>
        <rFont val="Arial"/>
        <family val="2"/>
      </rPr>
      <t>----------------------------------------------------------------------------------------------------</t>
    </r>
  </si>
  <si>
    <r>
      <t>Income Exceed to 10,00,000 -----------</t>
    </r>
    <r>
      <rPr>
        <b/>
        <sz val="12"/>
        <rFont val="Arial"/>
        <family val="2"/>
      </rPr>
      <t>30%</t>
    </r>
    <r>
      <rPr>
        <sz val="12"/>
        <rFont val="Arial"/>
        <family val="2"/>
      </rPr>
      <t>------------------------------------------------------------------------------------------------------</t>
    </r>
  </si>
  <si>
    <r>
      <t>2.5Lac to 5Lac --</t>
    </r>
    <r>
      <rPr>
        <b/>
        <sz val="12"/>
        <rFont val="Arial"/>
        <family val="2"/>
      </rPr>
      <t>5%</t>
    </r>
    <r>
      <rPr>
        <sz val="12"/>
        <rFont val="Arial"/>
        <family val="2"/>
      </rPr>
      <t>---5Lac to 7.5Lac ---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>----------------------------------------------------------------------------------------------------</t>
    </r>
  </si>
  <si>
    <r>
      <t>7.5Lac to 10Lac-1</t>
    </r>
    <r>
      <rPr>
        <b/>
        <sz val="12"/>
        <rFont val="Arial"/>
        <family val="2"/>
      </rPr>
      <t>5%</t>
    </r>
    <r>
      <rPr>
        <sz val="12"/>
        <rFont val="Arial"/>
        <family val="2"/>
      </rPr>
      <t>--10Lac to12.5Lac--</t>
    </r>
    <r>
      <rPr>
        <b/>
        <sz val="12"/>
        <rFont val="Arial"/>
        <family val="2"/>
      </rPr>
      <t>20%-</t>
    </r>
    <r>
      <rPr>
        <sz val="12"/>
        <rFont val="Arial"/>
        <family val="2"/>
      </rPr>
      <t>---------------------------------------------------------------------------------------------------</t>
    </r>
  </si>
  <si>
    <r>
      <t>12.5Lac to 15Lac-2</t>
    </r>
    <r>
      <rPr>
        <b/>
        <sz val="12"/>
        <rFont val="Arial"/>
        <family val="2"/>
      </rPr>
      <t>5%</t>
    </r>
    <r>
      <rPr>
        <sz val="12"/>
        <rFont val="Arial"/>
        <family val="2"/>
      </rPr>
      <t>--Above 15Lac --</t>
    </r>
    <r>
      <rPr>
        <b/>
        <sz val="12"/>
        <rFont val="Arial"/>
        <family val="2"/>
      </rPr>
      <t>30%</t>
    </r>
    <r>
      <rPr>
        <sz val="12"/>
        <rFont val="Arial"/>
        <family val="2"/>
      </rPr>
      <t>----------------------------------------------------------------------------------------------------</t>
    </r>
  </si>
  <si>
    <t>New Slab rates as per Section 115BAC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</si>
  <si>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-Other Income---------------------------------------------------------------------------------------------------------------------------------------------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</si>
  <si>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-Other Income--------------------------------------------------------------------------------------------------------------------------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</si>
  <si>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-Less Other------------------------------------------------------------------------------------------------------------------------------------</t>
    </r>
  </si>
  <si>
    <r>
      <t>Income up to 2,50,00 to 5,00,000 ----</t>
    </r>
    <r>
      <rPr>
        <b/>
        <sz val="12"/>
        <rFont val="Arial"/>
        <family val="2"/>
      </rPr>
      <t>5%</t>
    </r>
    <r>
      <rPr>
        <sz val="12"/>
        <rFont val="Arial"/>
        <family val="2"/>
      </rPr>
      <t>-------------------------------------------------------------------------------------------------------</t>
    </r>
  </si>
  <si>
    <t>Select Option for Income Tax Slab</t>
  </si>
  <si>
    <t>Total Taxable Income-------------------------------------------------------------------------------------------------------------</t>
  </si>
  <si>
    <r>
      <t>Tax Calculation----</t>
    </r>
    <r>
      <rPr>
        <b/>
        <sz val="12"/>
        <rFont val="Arial"/>
        <family val="2"/>
      </rPr>
      <t>Old ExistingSlab rate------------</t>
    </r>
  </si>
  <si>
    <t>CM Corona</t>
  </si>
  <si>
    <r>
      <t>Less-------------------------------------</t>
    </r>
    <r>
      <rPr>
        <b/>
        <sz val="12"/>
        <rFont val="Arial"/>
        <family val="2"/>
      </rPr>
      <t>(Standard Deduction    50000 Max.)-</t>
    </r>
    <r>
      <rPr>
        <sz val="12"/>
        <rFont val="Arial"/>
        <family val="2"/>
      </rPr>
      <t>--------------------------------------------------------------------------------------</t>
    </r>
  </si>
  <si>
    <t>Total Amount------------------------------------------------------------------------------------------------------------------------------------</t>
  </si>
  <si>
    <r>
      <t>Less</t>
    </r>
    <r>
      <rPr>
        <b/>
        <sz val="12"/>
        <rFont val="Arial"/>
        <family val="2"/>
      </rPr>
      <t xml:space="preserve"> HBA </t>
    </r>
    <r>
      <rPr>
        <b/>
        <sz val="11"/>
        <rFont val="Arial"/>
        <family val="2"/>
      </rPr>
      <t>Intrest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(if Const. Before 1.4.99 Maximun 30,000   After 1.4.99 Maximun 2,Lac)</t>
    </r>
    <r>
      <rPr>
        <sz val="12"/>
        <rFont val="Arial"/>
        <family val="2"/>
      </rPr>
      <t>-----------------------------------------------------------------------------------------------</t>
    </r>
  </si>
  <si>
    <r>
      <t>House Rent Allowance Rebate</t>
    </r>
    <r>
      <rPr>
        <sz val="12"/>
        <rFont val="Arial"/>
        <family val="2"/>
      </rPr>
      <t xml:space="preserve"> -----------------</t>
    </r>
    <r>
      <rPr>
        <b/>
        <sz val="12"/>
        <rFont val="Arial"/>
        <family val="2"/>
      </rPr>
      <t>U/S10(13-A)--and--10(14)</t>
    </r>
    <r>
      <rPr>
        <sz val="12"/>
        <rFont val="Arial"/>
        <family val="2"/>
      </rPr>
      <t>----------------------------------------------</t>
    </r>
  </si>
  <si>
    <r>
      <t xml:space="preserve">TOTAL INCOME TAX </t>
    </r>
    <r>
      <rPr>
        <sz val="12"/>
        <rFont val="Arial"/>
        <family val="2"/>
      </rPr>
      <t>---------------------------------------------------------------------------------------------------------</t>
    </r>
  </si>
  <si>
    <r>
      <t xml:space="preserve">BALANCE INCOME TAX OR INCOME TAX PAYABLE </t>
    </r>
    <r>
      <rPr>
        <sz val="12"/>
        <rFont val="Arial"/>
        <family val="2"/>
      </rPr>
      <t>----------------------------------------------------------------------------------------------------</t>
    </r>
  </si>
  <si>
    <r>
      <t>REFUNDALE INCOME TAX AMOUNT</t>
    </r>
    <r>
      <rPr>
        <sz val="12"/>
        <rFont val="Arial"/>
        <family val="2"/>
      </rPr>
      <t>-----------------------------------------------------------------------------------------------------------------</t>
    </r>
  </si>
  <si>
    <r>
      <t>Total Amount --------------------------------------------------</t>
    </r>
    <r>
      <rPr>
        <b/>
        <sz val="12"/>
        <rFont val="Arial"/>
        <family val="2"/>
      </rPr>
      <t>(Max. 1,50,000)</t>
    </r>
    <r>
      <rPr>
        <sz val="12"/>
        <rFont val="Arial"/>
        <family val="2"/>
      </rPr>
      <t>-------------------------------------------------------------------</t>
    </r>
  </si>
  <si>
    <t>Total Amount-------------------------------------------------------------------------------------------------------------------------------</t>
  </si>
  <si>
    <t>Total Deduction--------------------------------------------------</t>
  </si>
  <si>
    <t>Total Deductions (9+10) ---------------------------------------------------------------------------------------------------------</t>
  </si>
  <si>
    <t>Under Old  Regime Slab</t>
  </si>
  <si>
    <t>Under New Regime Slab as per Section 115BAC</t>
  </si>
  <si>
    <r>
      <t>U/s</t>
    </r>
    <r>
      <rPr>
        <b/>
        <sz val="12"/>
        <rFont val="Arial"/>
        <family val="2"/>
      </rPr>
      <t xml:space="preserve"> 80CDD(1)b</t>
    </r>
    <r>
      <rPr>
        <sz val="12"/>
        <rFont val="Arial"/>
        <family val="2"/>
      </rPr>
      <t xml:space="preserve"> CPF of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 xml:space="preserve"> Employee--Max. </t>
    </r>
    <r>
      <rPr>
        <b/>
        <sz val="12"/>
        <rFont val="Arial"/>
        <family val="2"/>
      </rPr>
      <t>50000/</t>
    </r>
    <r>
      <rPr>
        <sz val="12"/>
        <rFont val="Arial"/>
        <family val="2"/>
      </rPr>
      <t>---------------------------------------------------------------------------------------------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</si>
  <si>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-Less Other---------------</t>
    </r>
    <r>
      <rPr>
        <b/>
        <sz val="12"/>
        <rFont val="Arial"/>
        <family val="2"/>
      </rPr>
      <t>CM Corona Relief Fund     u/s 80-G</t>
    </r>
    <r>
      <rPr>
        <sz val="12"/>
        <rFont val="Arial"/>
        <family val="2"/>
      </rPr>
      <t>--------------------------------------------------------------------------------------------------------------------</t>
    </r>
  </si>
  <si>
    <t>March. 2021 to Feb. 2022</t>
  </si>
  <si>
    <t>GA- 55 A    ( 2021-2022)</t>
  </si>
  <si>
    <t xml:space="preserve">D.A. Arrear      7-21 to 09-21  </t>
  </si>
  <si>
    <t>Bonus-21</t>
  </si>
  <si>
    <t xml:space="preserve">D.A. Arrear          1-22 to 2-22   </t>
  </si>
  <si>
    <t xml:space="preserve">INCOME TAX TO BE DEDUCTABLE </t>
  </si>
  <si>
    <t>INCOME TAX DEDUCTED UP TO Dec.2021-------------------------------------------------------------------------------------------------</t>
  </si>
  <si>
    <t>INCOME TAX CALCULATION FOR THE FINANCIAL YEAR 2021-2022 ASSESMENT YEAR 2022-2023</t>
  </si>
  <si>
    <t>Income:Gross Salary Year 2021-2022----------------------------------------------------------------------------------------------</t>
  </si>
  <si>
    <t>R.G.H.S</t>
  </si>
  <si>
    <t>HRA Arrear          8-21</t>
  </si>
</sst>
</file>

<file path=xl/styles.xml><?xml version="1.0" encoding="utf-8"?>
<styleSheet xmlns="http://schemas.openxmlformats.org/spreadsheetml/2006/main">
  <fonts count="4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Kruti Dev 010"/>
    </font>
    <font>
      <sz val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22"/>
      <name val="Arial"/>
      <family val="2"/>
    </font>
    <font>
      <b/>
      <sz val="12"/>
      <name val="Kruti Dev 010"/>
    </font>
    <font>
      <sz val="11"/>
      <name val="Calibri"/>
      <family val="2"/>
    </font>
    <font>
      <sz val="9"/>
      <name val="Arial"/>
      <family val="2"/>
    </font>
    <font>
      <sz val="12"/>
      <name val="Kruti Dev 010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name val="Kruti Dev 010"/>
    </font>
    <font>
      <b/>
      <sz val="11"/>
      <color indexed="81"/>
      <name val="Tahoma"/>
      <family val="2"/>
    </font>
    <font>
      <sz val="12"/>
      <name val="Times New Roman"/>
      <family val="1"/>
    </font>
    <font>
      <b/>
      <sz val="12"/>
      <color rgb="FFFF0000"/>
      <name val="Arial"/>
      <family val="2"/>
    </font>
    <font>
      <sz val="14"/>
      <color theme="0"/>
      <name val="Arial"/>
      <family val="2"/>
    </font>
    <font>
      <sz val="16"/>
      <name val="Arial"/>
      <family val="2"/>
    </font>
    <font>
      <b/>
      <sz val="13.5"/>
      <name val="Times New Roman"/>
      <family val="1"/>
    </font>
    <font>
      <b/>
      <sz val="16"/>
      <color rgb="FFFFFF00"/>
      <name val="Castellar"/>
      <family val="1"/>
    </font>
    <font>
      <b/>
      <sz val="14"/>
      <color theme="0"/>
      <name val="Arial"/>
      <family val="2"/>
    </font>
    <font>
      <sz val="13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</borders>
  <cellStyleXfs count="2">
    <xf numFmtId="0" fontId="0" fillId="0" borderId="0"/>
    <xf numFmtId="0" fontId="39" fillId="0" borderId="0"/>
  </cellStyleXfs>
  <cellXfs count="250">
    <xf numFmtId="0" fontId="0" fillId="0" borderId="0" xfId="0"/>
    <xf numFmtId="0" fontId="7" fillId="0" borderId="0" xfId="0" applyFo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1" fontId="11" fillId="0" borderId="0" xfId="0" applyNumberFormat="1" applyFont="1" applyAlignment="1" applyProtection="1">
      <alignment horizontal="right"/>
      <protection locked="0" hidden="1"/>
    </xf>
    <xf numFmtId="0" fontId="12" fillId="0" borderId="0" xfId="0" applyFont="1" applyAlignment="1" applyProtection="1">
      <alignment horizontal="right"/>
      <protection locked="0" hidden="1"/>
    </xf>
    <xf numFmtId="1" fontId="11" fillId="0" borderId="0" xfId="0" applyNumberFormat="1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vertical="center" wrapText="1"/>
      <protection locked="0" hidden="1"/>
    </xf>
    <xf numFmtId="0" fontId="0" fillId="0" borderId="0" xfId="0" applyBorder="1" applyProtection="1">
      <protection locked="0" hidden="1"/>
    </xf>
    <xf numFmtId="17" fontId="4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17" fontId="13" fillId="0" borderId="0" xfId="0" applyNumberFormat="1" applyFont="1" applyBorder="1" applyAlignment="1" applyProtection="1">
      <alignment vertical="center" wrapText="1"/>
      <protection locked="0" hidden="1"/>
    </xf>
    <xf numFmtId="16" fontId="13" fillId="0" borderId="0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0" xfId="0" applyFill="1" applyAlignment="1" applyProtection="1">
      <alignment vertical="center"/>
      <protection locked="0" hidden="1"/>
    </xf>
    <xf numFmtId="0" fontId="4" fillId="0" borderId="0" xfId="0" applyFont="1" applyProtection="1"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protection locked="0" hidden="1"/>
    </xf>
    <xf numFmtId="0" fontId="18" fillId="0" borderId="0" xfId="0" applyFont="1" applyAlignment="1">
      <alignment horizontal="justify" vertical="justify"/>
    </xf>
    <xf numFmtId="0" fontId="5" fillId="0" borderId="2" xfId="0" applyFont="1" applyBorder="1" applyAlignment="1" applyProtection="1">
      <alignment horizontal="center" vertical="center"/>
      <protection locked="0" hidden="1"/>
    </xf>
    <xf numFmtId="17" fontId="10" fillId="0" borderId="1" xfId="0" applyNumberFormat="1" applyFont="1" applyBorder="1" applyAlignment="1" applyProtection="1">
      <alignment horizontal="center" vertical="center"/>
      <protection locked="0" hidden="1"/>
    </xf>
    <xf numFmtId="17" fontId="3" fillId="0" borderId="1" xfId="0" applyNumberFormat="1" applyFont="1" applyBorder="1" applyAlignment="1" applyProtection="1">
      <alignment horizontal="center" vertical="center"/>
      <protection locked="0" hidden="1"/>
    </xf>
    <xf numFmtId="17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protection locked="0" hidden="1"/>
    </xf>
    <xf numFmtId="17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3" fillId="0" borderId="0" xfId="0" applyFont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7" fillId="0" borderId="3" xfId="0" applyFont="1" applyBorder="1" applyAlignment="1" applyProtection="1">
      <protection locked="0" hidden="1"/>
    </xf>
    <xf numFmtId="0" fontId="27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1" fontId="0" fillId="0" borderId="0" xfId="0" applyNumberForma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protection locked="0" hidden="1"/>
    </xf>
    <xf numFmtId="0" fontId="1" fillId="0" borderId="0" xfId="0" applyFont="1" applyBorder="1" applyAlignment="1" applyProtection="1">
      <alignment horizontal="center" vertical="justify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horizontal="right"/>
      <protection hidden="1"/>
    </xf>
    <xf numFmtId="0" fontId="6" fillId="0" borderId="0" xfId="0" applyFont="1"/>
    <xf numFmtId="0" fontId="6" fillId="0" borderId="0" xfId="0" applyFont="1" applyAlignment="1" applyProtection="1">
      <alignment vertical="center"/>
      <protection locked="0" hidden="1"/>
    </xf>
    <xf numFmtId="0" fontId="28" fillId="0" borderId="0" xfId="0" applyFont="1" applyBorder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8" fillId="0" borderId="5" xfId="0" applyFont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28" fillId="0" borderId="6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1" fontId="11" fillId="0" borderId="0" xfId="0" applyNumberFormat="1" applyFont="1" applyAlignment="1" applyProtection="1">
      <alignment horizontal="right"/>
      <protection hidden="1"/>
    </xf>
    <xf numFmtId="0" fontId="28" fillId="0" borderId="2" xfId="0" applyNumberFormat="1" applyFont="1" applyBorder="1" applyAlignment="1" applyProtection="1">
      <alignment horizontal="center" vertical="center" wrapText="1"/>
      <protection locked="0"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protection locked="0" hidden="1"/>
    </xf>
    <xf numFmtId="0" fontId="29" fillId="0" borderId="7" xfId="0" applyFont="1" applyBorder="1" applyAlignment="1" applyProtection="1">
      <alignment horizontal="center"/>
      <protection locked="0" hidden="1"/>
    </xf>
    <xf numFmtId="0" fontId="21" fillId="0" borderId="0" xfId="0" applyFont="1" applyAlignment="1">
      <alignment vertical="justify"/>
    </xf>
    <xf numFmtId="17" fontId="5" fillId="0" borderId="0" xfId="0" applyNumberFormat="1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locked="0" hidden="1"/>
    </xf>
    <xf numFmtId="1" fontId="7" fillId="0" borderId="2" xfId="0" applyNumberFormat="1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" fontId="12" fillId="0" borderId="0" xfId="0" applyNumberFormat="1" applyFont="1" applyAlignment="1" applyProtection="1">
      <alignment horizontal="right"/>
      <protection hidden="1"/>
    </xf>
    <xf numFmtId="17" fontId="10" fillId="0" borderId="1" xfId="0" applyNumberFormat="1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center"/>
      <protection locked="0" hidden="1"/>
    </xf>
    <xf numFmtId="0" fontId="32" fillId="0" borderId="0" xfId="0" applyFont="1" applyAlignment="1" applyProtection="1">
      <alignment horizontal="left" vertical="center"/>
      <protection locked="0" hidden="1"/>
    </xf>
    <xf numFmtId="0" fontId="40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Fill="1"/>
    <xf numFmtId="1" fontId="7" fillId="0" borderId="2" xfId="0" applyNumberFormat="1" applyFont="1" applyFill="1" applyBorder="1" applyAlignment="1" applyProtection="1">
      <alignment horizontal="center" vertical="center"/>
      <protection locked="0" hidden="1"/>
    </xf>
    <xf numFmtId="17" fontId="2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vertical="center"/>
      <protection locked="0" hidden="1"/>
    </xf>
    <xf numFmtId="0" fontId="36" fillId="0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Protection="1">
      <protection locked="0" hidden="1"/>
    </xf>
    <xf numFmtId="0" fontId="7" fillId="0" borderId="2" xfId="0" applyFont="1" applyBorder="1" applyProtection="1">
      <protection locked="0" hidden="1"/>
    </xf>
    <xf numFmtId="1" fontId="12" fillId="0" borderId="0" xfId="0" applyNumberFormat="1" applyFont="1" applyBorder="1" applyAlignment="1" applyProtection="1">
      <alignment horizontal="right"/>
      <protection hidden="1"/>
    </xf>
    <xf numFmtId="0" fontId="7" fillId="0" borderId="1" xfId="1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/>
      <protection locked="0" hidden="1"/>
    </xf>
    <xf numFmtId="0" fontId="7" fillId="0" borderId="0" xfId="0" applyFont="1" applyBorder="1" applyAlignment="1" applyProtection="1">
      <alignment horizontal="left"/>
      <protection locked="0" hidden="1"/>
    </xf>
    <xf numFmtId="0" fontId="8" fillId="0" borderId="0" xfId="0" applyFont="1" applyBorder="1" applyProtection="1">
      <protection locked="0" hidden="1"/>
    </xf>
    <xf numFmtId="0" fontId="8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1" xfId="0" applyFont="1" applyBorder="1" applyAlignment="1" applyProtection="1">
      <alignment horizontal="center"/>
      <protection locked="0" hidden="1"/>
    </xf>
    <xf numFmtId="0" fontId="11" fillId="0" borderId="1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protection locked="0" hidden="1"/>
    </xf>
    <xf numFmtId="0" fontId="8" fillId="0" borderId="0" xfId="0" applyFont="1" applyBorder="1" applyAlignment="1" applyProtection="1">
      <alignment horizontal="left"/>
      <protection locked="0" hidden="1"/>
    </xf>
    <xf numFmtId="2" fontId="12" fillId="0" borderId="0" xfId="0" applyNumberFormat="1" applyFont="1" applyAlignment="1" applyProtection="1">
      <alignment horizontal="right"/>
      <protection hidden="1"/>
    </xf>
    <xf numFmtId="0" fontId="41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locked="0" hidden="1"/>
    </xf>
    <xf numFmtId="0" fontId="42" fillId="0" borderId="0" xfId="0" applyFont="1" applyProtection="1">
      <protection locked="0" hidden="1"/>
    </xf>
    <xf numFmtId="2" fontId="12" fillId="0" borderId="8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1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vertical="center"/>
      <protection hidden="1"/>
    </xf>
    <xf numFmtId="0" fontId="7" fillId="0" borderId="0" xfId="0" applyFont="1" applyBorder="1" applyProtection="1"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11" fillId="0" borderId="0" xfId="0" applyFont="1" applyBorder="1" applyProtection="1"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1" fontId="1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45" fillId="0" borderId="0" xfId="0" applyFont="1" applyBorder="1" applyAlignment="1" applyProtection="1">
      <protection locked="0" hidden="1"/>
    </xf>
    <xf numFmtId="0" fontId="46" fillId="0" borderId="1" xfId="0" applyFont="1" applyBorder="1" applyAlignment="1" applyProtection="1">
      <alignment horizontal="center"/>
      <protection locked="0"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8" fillId="0" borderId="0" xfId="0" applyFont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17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44" fillId="0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7" fillId="0" borderId="19" xfId="0" applyFont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45" fillId="0" borderId="20" xfId="0" applyFont="1" applyBorder="1" applyAlignment="1" applyProtection="1">
      <alignment horizontal="left"/>
      <protection locked="0" hidden="1"/>
    </xf>
    <xf numFmtId="0" fontId="45" fillId="0" borderId="21" xfId="0" applyFont="1" applyBorder="1" applyAlignment="1" applyProtection="1">
      <alignment horizontal="left"/>
      <protection locked="0" hidden="1"/>
    </xf>
    <xf numFmtId="0" fontId="45" fillId="0" borderId="22" xfId="0" applyFont="1" applyBorder="1" applyAlignment="1" applyProtection="1">
      <alignment horizontal="left"/>
      <protection locked="0" hidden="1"/>
    </xf>
    <xf numFmtId="0" fontId="16" fillId="0" borderId="0" xfId="0" applyFont="1" applyAlignment="1" applyProtection="1">
      <alignment horizontal="left"/>
      <protection hidden="1"/>
    </xf>
    <xf numFmtId="0" fontId="16" fillId="0" borderId="19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17" fontId="3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wrapText="1"/>
      <protection locked="0" hidden="1"/>
    </xf>
    <xf numFmtId="0" fontId="16" fillId="0" borderId="0" xfId="0" applyFont="1" applyAlignment="1" applyProtection="1">
      <alignment horizontal="right" vertical="center"/>
      <protection locked="0"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23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7" fillId="0" borderId="19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locked="0" hidden="1"/>
    </xf>
    <xf numFmtId="0" fontId="12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9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right" vertical="center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17" fontId="23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/>
      <protection locked="0" hidden="1"/>
    </xf>
    <xf numFmtId="0" fontId="1" fillId="0" borderId="1" xfId="0" applyFont="1" applyBorder="1" applyAlignment="1" applyProtection="1">
      <alignment horizontal="center" vertical="justify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230841</xdr:colOff>
      <xdr:row>0</xdr:row>
      <xdr:rowOff>268318</xdr:rowOff>
    </xdr:from>
    <xdr:to>
      <xdr:col>30</xdr:col>
      <xdr:colOff>352364</xdr:colOff>
      <xdr:row>3</xdr:row>
      <xdr:rowOff>31751</xdr:rowOff>
    </xdr:to>
    <xdr:sp macro="" textlink="">
      <xdr:nvSpPr>
        <xdr:cNvPr id="2" name="Up Arrow 1"/>
        <xdr:cNvSpPr/>
      </xdr:nvSpPr>
      <xdr:spPr>
        <a:xfrm rot="16200000">
          <a:off x="13326845" y="-11269"/>
          <a:ext cx="282016" cy="841189"/>
        </a:xfrm>
        <a:prstGeom prst="up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69"/>
  <sheetViews>
    <sheetView view="pageBreakPreview" topLeftCell="B1" zoomScale="90" zoomScaleNormal="75" zoomScaleSheetLayoutView="90" workbookViewId="0">
      <selection activeCell="AA18" sqref="AA18"/>
    </sheetView>
  </sheetViews>
  <sheetFormatPr defaultColWidth="10.7109375" defaultRowHeight="16.5" customHeight="1"/>
  <cols>
    <col min="1" max="1" width="0" style="1" hidden="1" customWidth="1"/>
    <col min="2" max="2" width="3.5703125" style="1" customWidth="1"/>
    <col min="3" max="3" width="4.140625" style="1" customWidth="1"/>
    <col min="4" max="4" width="14.28515625" style="8" customWidth="1"/>
    <col min="5" max="5" width="10.28515625" style="1" customWidth="1"/>
    <col min="6" max="6" width="19" style="1" customWidth="1"/>
    <col min="7" max="7" width="31.85546875" style="1" customWidth="1"/>
    <col min="8" max="8" width="15" style="1" customWidth="1"/>
    <col min="9" max="9" width="17.42578125" style="1" customWidth="1"/>
    <col min="10" max="10" width="3.140625" style="1" customWidth="1"/>
    <col min="11" max="23" width="10.7109375" style="1" hidden="1" customWidth="1"/>
    <col min="24" max="25" width="10.7109375" style="1" customWidth="1"/>
    <col min="26" max="26" width="14.7109375" style="1" customWidth="1"/>
    <col min="27" max="27" width="17.5703125" style="1" customWidth="1"/>
    <col min="28" max="28" width="19.140625" style="1" customWidth="1"/>
    <col min="29" max="29" width="10.7109375" style="1" customWidth="1"/>
    <col min="30" max="30" width="10.7109375" style="1" hidden="1" customWidth="1"/>
    <col min="31" max="31" width="10.7109375" style="1" customWidth="1"/>
    <col min="32" max="16384" width="10.7109375" style="1"/>
  </cols>
  <sheetData>
    <row r="1" spans="1:31" ht="21.75" thickBot="1">
      <c r="B1" s="186" t="s">
        <v>122</v>
      </c>
      <c r="C1" s="186"/>
      <c r="D1" s="186"/>
      <c r="E1" s="186"/>
      <c r="F1" s="186"/>
      <c r="G1" s="186"/>
      <c r="H1" s="186"/>
      <c r="I1" s="186"/>
      <c r="J1" s="186"/>
      <c r="Y1" s="169" t="s">
        <v>96</v>
      </c>
      <c r="Z1" s="169"/>
      <c r="AA1" s="169"/>
      <c r="AB1" s="169"/>
      <c r="AC1" s="169"/>
      <c r="AD1" s="169"/>
      <c r="AE1" s="169"/>
    </row>
    <row r="2" spans="1:31" ht="4.5" hidden="1" customHeight="1">
      <c r="B2" s="40"/>
      <c r="C2" s="40"/>
      <c r="D2" s="40"/>
      <c r="E2" s="40"/>
      <c r="F2" s="40"/>
      <c r="G2" s="40"/>
      <c r="H2" s="40"/>
      <c r="I2" s="40"/>
      <c r="J2" s="40"/>
    </row>
    <row r="3" spans="1:31" ht="19.5" customHeight="1" thickBot="1">
      <c r="B3" s="189" t="str">
        <f>'GA55'!C1</f>
        <v>OFFICE  OF  THE  PRINCIPAL  DUNGAR  COLLEGE , BIKANER</v>
      </c>
      <c r="C3" s="189"/>
      <c r="D3" s="189"/>
      <c r="E3" s="189"/>
      <c r="F3" s="189"/>
      <c r="G3" s="189"/>
      <c r="H3" s="41" t="s">
        <v>12</v>
      </c>
      <c r="I3" s="188">
        <f>'GA55'!Y4</f>
        <v>123</v>
      </c>
      <c r="J3" s="188"/>
      <c r="Y3" s="181" t="s">
        <v>111</v>
      </c>
      <c r="Z3" s="182"/>
      <c r="AA3" s="182"/>
      <c r="AB3" s="183"/>
      <c r="AC3" s="159"/>
      <c r="AD3" s="142" t="s">
        <v>111</v>
      </c>
    </row>
    <row r="4" spans="1:31" ht="17.45" customHeight="1">
      <c r="A4" s="1">
        <v>1</v>
      </c>
      <c r="B4" s="2">
        <v>1</v>
      </c>
      <c r="C4" s="36" t="s">
        <v>57</v>
      </c>
      <c r="D4" s="28"/>
      <c r="E4" s="170" t="str">
        <f>'GA55'!E4</f>
        <v>abc</v>
      </c>
      <c r="F4" s="170"/>
      <c r="G4" s="170"/>
      <c r="H4" s="95" t="s">
        <v>58</v>
      </c>
      <c r="I4" s="170" t="str">
        <f>'GA55'!P4</f>
        <v>xyz</v>
      </c>
      <c r="J4" s="170"/>
      <c r="AD4" s="142" t="s">
        <v>112</v>
      </c>
    </row>
    <row r="5" spans="1:31" ht="17.45" customHeight="1">
      <c r="A5" s="1">
        <v>1</v>
      </c>
      <c r="B5" s="2">
        <v>2</v>
      </c>
      <c r="C5" s="176" t="s">
        <v>123</v>
      </c>
      <c r="D5" s="176"/>
      <c r="E5" s="176"/>
      <c r="F5" s="176"/>
      <c r="G5" s="176"/>
      <c r="H5" s="177"/>
      <c r="I5" s="123">
        <f>'GA55'!K26</f>
        <v>0</v>
      </c>
      <c r="J5" s="5"/>
    </row>
    <row r="6" spans="1:31" ht="17.45" customHeight="1">
      <c r="A6" s="1">
        <v>1</v>
      </c>
      <c r="B6" s="2"/>
      <c r="C6" s="126" t="s">
        <v>92</v>
      </c>
      <c r="D6" s="125"/>
      <c r="E6" s="125"/>
      <c r="F6" s="125"/>
      <c r="G6" s="125"/>
      <c r="H6" s="138"/>
      <c r="I6" s="7">
        <v>0</v>
      </c>
      <c r="J6" s="5"/>
    </row>
    <row r="7" spans="1:31" ht="5.25" hidden="1" customHeight="1">
      <c r="B7" s="2"/>
      <c r="C7" s="112"/>
      <c r="D7" s="112"/>
      <c r="E7" s="112"/>
      <c r="F7" s="112"/>
      <c r="G7" s="112"/>
      <c r="H7" s="134"/>
      <c r="I7" s="7"/>
      <c r="J7" s="5"/>
    </row>
    <row r="8" spans="1:31" ht="17.45" customHeight="1">
      <c r="A8" s="1">
        <v>1</v>
      </c>
      <c r="B8" s="2"/>
      <c r="C8" s="113" t="s">
        <v>93</v>
      </c>
      <c r="D8" s="112"/>
      <c r="E8" s="112"/>
      <c r="F8" s="112"/>
      <c r="G8" s="112"/>
      <c r="H8" s="137"/>
      <c r="I8" s="7">
        <v>0</v>
      </c>
      <c r="J8" s="5"/>
    </row>
    <row r="9" spans="1:31" ht="4.5" hidden="1" customHeight="1">
      <c r="B9" s="2"/>
      <c r="C9" s="125"/>
      <c r="D9" s="125"/>
      <c r="E9" s="125"/>
      <c r="F9" s="125"/>
      <c r="G9" s="125"/>
      <c r="H9" s="112"/>
      <c r="I9" s="7"/>
      <c r="J9" s="5"/>
    </row>
    <row r="10" spans="1:31" ht="17.45" customHeight="1">
      <c r="A10" s="1">
        <v>1</v>
      </c>
      <c r="B10" s="2">
        <v>3</v>
      </c>
      <c r="C10" s="152" t="s">
        <v>103</v>
      </c>
      <c r="D10" s="152"/>
      <c r="E10" s="152"/>
      <c r="F10" s="152"/>
      <c r="G10" s="152"/>
      <c r="H10" s="151"/>
      <c r="I10" s="81" t="str">
        <f>IF(Y3="Under Old  Regime Slab",K10,0)</f>
        <v>0</v>
      </c>
      <c r="J10" s="5"/>
      <c r="K10" s="151" t="str">
        <f>'GA55'!AE35</f>
        <v>0</v>
      </c>
    </row>
    <row r="11" spans="1:31" ht="17.45" customHeight="1">
      <c r="A11" s="1">
        <v>1</v>
      </c>
      <c r="B11" s="2">
        <v>4</v>
      </c>
      <c r="C11" s="113" t="s">
        <v>108</v>
      </c>
      <c r="D11" s="112"/>
      <c r="E11" s="112"/>
      <c r="F11" s="111"/>
      <c r="G11" s="111"/>
      <c r="H11" s="111"/>
      <c r="I11" s="147">
        <f>I5+I6+I8-I10</f>
        <v>0</v>
      </c>
      <c r="J11" s="5"/>
    </row>
    <row r="12" spans="1:31" ht="17.45" customHeight="1">
      <c r="A12" s="1">
        <v>1</v>
      </c>
      <c r="B12" s="2">
        <v>5</v>
      </c>
      <c r="C12" s="162" t="s">
        <v>114</v>
      </c>
      <c r="D12" s="112"/>
      <c r="E12" s="112"/>
      <c r="F12" s="112"/>
      <c r="G12" s="112"/>
      <c r="H12" s="131"/>
      <c r="I12" s="81">
        <f>IF(Y3="Under Old  Regime Slab",'GA55'!U26,0)</f>
        <v>0</v>
      </c>
      <c r="J12" s="5"/>
    </row>
    <row r="13" spans="1:31" ht="6" hidden="1" customHeight="1">
      <c r="B13" s="2"/>
      <c r="C13" s="125"/>
      <c r="D13" s="125"/>
      <c r="E13" s="125"/>
      <c r="F13" s="125"/>
      <c r="G13" s="125"/>
      <c r="H13" s="132"/>
      <c r="I13" s="7"/>
      <c r="J13" s="5"/>
    </row>
    <row r="14" spans="1:31" ht="17.45" customHeight="1">
      <c r="A14" s="1">
        <v>1</v>
      </c>
      <c r="B14" s="2"/>
      <c r="C14" s="178" t="s">
        <v>94</v>
      </c>
      <c r="D14" s="178"/>
      <c r="E14" s="178"/>
      <c r="F14" s="178"/>
      <c r="G14" s="179"/>
      <c r="H14" s="160">
        <v>0</v>
      </c>
      <c r="I14" s="81">
        <f>IF(Y3="Under Old  Regime Slab",K14,0)</f>
        <v>0</v>
      </c>
      <c r="J14" s="5"/>
      <c r="K14" s="1">
        <f>H14</f>
        <v>0</v>
      </c>
    </row>
    <row r="15" spans="1:31" ht="5.25" hidden="1" customHeight="1">
      <c r="B15" s="2"/>
      <c r="C15" s="126"/>
      <c r="D15" s="126"/>
      <c r="E15" s="126"/>
      <c r="F15" s="126"/>
      <c r="G15" s="126"/>
      <c r="H15" s="133"/>
      <c r="I15" s="72"/>
      <c r="J15" s="5"/>
    </row>
    <row r="16" spans="1:31" ht="17.45" customHeight="1">
      <c r="A16" s="1">
        <v>1</v>
      </c>
      <c r="B16" s="2">
        <v>6</v>
      </c>
      <c r="C16" s="145" t="s">
        <v>100</v>
      </c>
      <c r="D16" s="113"/>
      <c r="E16" s="113"/>
      <c r="F16" s="113"/>
      <c r="G16" s="154"/>
      <c r="H16" s="153"/>
      <c r="I16" s="81">
        <f>IF(Y3="Under Old  Regime Slab",K16,0)</f>
        <v>0</v>
      </c>
      <c r="J16" s="5"/>
      <c r="K16" s="153">
        <f>IF(I5&gt;50000,(50000),I5)</f>
        <v>0</v>
      </c>
    </row>
    <row r="17" spans="1:11" ht="4.5" hidden="1" customHeight="1">
      <c r="B17" s="2"/>
      <c r="C17" s="113"/>
      <c r="D17" s="112"/>
      <c r="E17" s="112"/>
      <c r="F17" s="111"/>
      <c r="G17" s="114"/>
      <c r="H17" s="132"/>
      <c r="I17" s="72"/>
      <c r="J17" s="5"/>
    </row>
    <row r="18" spans="1:11" ht="17.45" customHeight="1">
      <c r="A18" s="1">
        <v>1</v>
      </c>
      <c r="B18" s="2">
        <v>7</v>
      </c>
      <c r="C18" s="184" t="s">
        <v>102</v>
      </c>
      <c r="D18" s="184"/>
      <c r="E18" s="184"/>
      <c r="F18" s="184"/>
      <c r="G18" s="185"/>
      <c r="H18" s="135">
        <v>0</v>
      </c>
      <c r="I18" s="81">
        <f>IF(Y3="Under Old  Regime Slab",K18,0)</f>
        <v>0</v>
      </c>
      <c r="J18" s="5"/>
      <c r="K18" s="1">
        <f>H18</f>
        <v>0</v>
      </c>
    </row>
    <row r="19" spans="1:11" ht="17.45" customHeight="1">
      <c r="A19" s="1">
        <v>1</v>
      </c>
      <c r="B19" s="2">
        <v>8</v>
      </c>
      <c r="C19" s="113" t="s">
        <v>101</v>
      </c>
      <c r="D19" s="112"/>
      <c r="E19" s="112"/>
      <c r="F19" s="111"/>
      <c r="G19" s="111"/>
      <c r="H19" s="111"/>
      <c r="I19" s="89" t="str">
        <f>IF((I11-I12-I14-I16-I18)&lt;=0,"0",SUM(I11-I12-I14-I16-I18))</f>
        <v>0</v>
      </c>
      <c r="J19" s="5"/>
    </row>
    <row r="20" spans="1:11" ht="17.45" customHeight="1">
      <c r="A20" s="1">
        <v>1</v>
      </c>
      <c r="B20" s="2">
        <v>9</v>
      </c>
      <c r="C20" s="8" t="s">
        <v>78</v>
      </c>
      <c r="D20" s="5"/>
      <c r="E20" s="5"/>
      <c r="F20" s="5"/>
      <c r="G20" s="5"/>
      <c r="H20" s="5"/>
      <c r="I20" s="10"/>
      <c r="J20" s="5"/>
    </row>
    <row r="21" spans="1:11" ht="5.25" customHeight="1">
      <c r="A21" s="1">
        <v>1</v>
      </c>
      <c r="B21" s="2"/>
      <c r="C21" s="6"/>
      <c r="D21" s="5"/>
      <c r="E21" s="5"/>
      <c r="F21" s="5"/>
      <c r="G21" s="5"/>
      <c r="H21" s="5"/>
      <c r="I21" s="10"/>
      <c r="J21" s="5"/>
    </row>
    <row r="22" spans="1:11" ht="17.45" hidden="1" customHeight="1">
      <c r="A22" s="1">
        <v>1</v>
      </c>
      <c r="B22" s="2"/>
      <c r="C22" s="6"/>
      <c r="D22" s="5"/>
      <c r="E22" s="5"/>
      <c r="F22" s="5"/>
      <c r="G22" s="5"/>
      <c r="H22" s="5"/>
      <c r="I22" s="10"/>
      <c r="J22" s="5"/>
    </row>
    <row r="23" spans="1:11" ht="17.45" customHeight="1">
      <c r="A23" s="1">
        <v>1</v>
      </c>
      <c r="B23" s="2"/>
      <c r="C23" s="6">
        <v>1</v>
      </c>
      <c r="D23" s="96" t="s">
        <v>60</v>
      </c>
      <c r="E23" s="156">
        <f>'GA55'!L26</f>
        <v>0</v>
      </c>
      <c r="F23" s="12">
        <v>8</v>
      </c>
      <c r="G23" s="96" t="s">
        <v>74</v>
      </c>
      <c r="H23" s="157">
        <f>'GA55'!V26</f>
        <v>0</v>
      </c>
      <c r="I23" s="7"/>
      <c r="J23" s="5"/>
    </row>
    <row r="24" spans="1:11" ht="17.45" customHeight="1">
      <c r="A24" s="1">
        <v>1</v>
      </c>
      <c r="B24" s="2"/>
      <c r="C24" s="6">
        <v>2</v>
      </c>
      <c r="D24" s="96" t="s">
        <v>61</v>
      </c>
      <c r="E24" s="156">
        <f>'GA55'!S26</f>
        <v>0</v>
      </c>
      <c r="F24" s="12">
        <v>9</v>
      </c>
      <c r="G24" s="96" t="s">
        <v>73</v>
      </c>
      <c r="H24" s="11">
        <v>0</v>
      </c>
      <c r="I24" s="7"/>
      <c r="J24" s="5"/>
    </row>
    <row r="25" spans="1:11" ht="17.45" customHeight="1">
      <c r="A25" s="1">
        <v>1</v>
      </c>
      <c r="B25" s="2"/>
      <c r="C25" s="6">
        <v>3</v>
      </c>
      <c r="D25" s="96" t="s">
        <v>62</v>
      </c>
      <c r="E25" s="13">
        <v>0</v>
      </c>
      <c r="F25" s="12">
        <v>10</v>
      </c>
      <c r="G25" s="96" t="s">
        <v>72</v>
      </c>
      <c r="H25" s="11">
        <f>'GA55'!Q26</f>
        <v>0</v>
      </c>
      <c r="I25" s="7"/>
      <c r="J25" s="5"/>
    </row>
    <row r="26" spans="1:11" ht="17.45" customHeight="1">
      <c r="A26" s="1">
        <v>1</v>
      </c>
      <c r="B26" s="2"/>
      <c r="C26" s="6">
        <v>4</v>
      </c>
      <c r="D26" s="96" t="s">
        <v>63</v>
      </c>
      <c r="E26" s="13">
        <v>0</v>
      </c>
      <c r="F26" s="12">
        <v>11</v>
      </c>
      <c r="G26" s="97" t="s">
        <v>71</v>
      </c>
      <c r="H26" s="13">
        <v>0</v>
      </c>
      <c r="I26" s="140">
        <f>IF((K30)&gt;150000,(150000),SUM(K30))+H30</f>
        <v>0</v>
      </c>
      <c r="J26" s="5"/>
    </row>
    <row r="27" spans="1:11" ht="17.45" customHeight="1">
      <c r="A27" s="1">
        <v>1</v>
      </c>
      <c r="B27" s="2"/>
      <c r="C27" s="6">
        <v>5</v>
      </c>
      <c r="D27" s="96" t="s">
        <v>70</v>
      </c>
      <c r="E27" s="156">
        <f>'GA55'!O26</f>
        <v>0</v>
      </c>
      <c r="F27" s="12">
        <v>12</v>
      </c>
      <c r="G27" s="96" t="s">
        <v>75</v>
      </c>
      <c r="H27" s="11">
        <v>0</v>
      </c>
      <c r="I27" s="7"/>
      <c r="J27" s="5"/>
    </row>
    <row r="28" spans="1:11" ht="17.45" customHeight="1">
      <c r="A28" s="1">
        <v>1</v>
      </c>
      <c r="B28" s="2"/>
      <c r="C28" s="6">
        <v>6</v>
      </c>
      <c r="D28" s="96" t="s">
        <v>64</v>
      </c>
      <c r="E28" s="13">
        <v>0</v>
      </c>
      <c r="F28" s="5">
        <v>13</v>
      </c>
      <c r="G28" s="96" t="s">
        <v>59</v>
      </c>
      <c r="H28" s="13">
        <v>0</v>
      </c>
      <c r="I28" s="7"/>
      <c r="J28" s="5"/>
    </row>
    <row r="29" spans="1:11" ht="3" hidden="1" customHeight="1">
      <c r="A29" s="1">
        <v>1</v>
      </c>
      <c r="B29" s="2"/>
      <c r="C29" s="6"/>
      <c r="D29" s="1"/>
      <c r="E29" s="5"/>
      <c r="F29" s="5"/>
      <c r="G29" s="5"/>
      <c r="H29" s="5"/>
      <c r="I29" s="7"/>
      <c r="J29" s="5"/>
    </row>
    <row r="30" spans="1:11" ht="17.45" customHeight="1">
      <c r="A30" s="1">
        <v>1</v>
      </c>
      <c r="B30" s="2"/>
      <c r="C30" s="6">
        <v>7</v>
      </c>
      <c r="D30" s="97" t="s">
        <v>65</v>
      </c>
      <c r="E30" s="3"/>
      <c r="F30" s="3"/>
      <c r="G30" s="3"/>
      <c r="H30" s="13">
        <v>0</v>
      </c>
      <c r="I30" s="3"/>
      <c r="J30" s="5"/>
      <c r="K30" s="9">
        <f>E23+E24+E25+E26+E27+E28+H23+H24+H25+H26+H27+H28</f>
        <v>0</v>
      </c>
    </row>
    <row r="31" spans="1:11" ht="17.45" customHeight="1">
      <c r="A31" s="1">
        <v>1</v>
      </c>
      <c r="B31" s="2"/>
      <c r="C31" s="36" t="s">
        <v>107</v>
      </c>
      <c r="D31" s="28"/>
      <c r="E31" s="28"/>
      <c r="F31" s="5"/>
      <c r="G31" s="39"/>
      <c r="H31" s="161">
        <f>K30</f>
        <v>0</v>
      </c>
      <c r="I31" s="139">
        <f>IF(Y3="Under Old  Regime Slab",I26,0)</f>
        <v>0</v>
      </c>
      <c r="J31" s="5"/>
      <c r="K31" s="1">
        <f>IF(H31&gt;150000,150000,H31)</f>
        <v>0</v>
      </c>
    </row>
    <row r="32" spans="1:11" ht="17.45" customHeight="1">
      <c r="A32" s="1">
        <v>1</v>
      </c>
      <c r="B32" s="2">
        <v>10</v>
      </c>
      <c r="C32" s="5" t="s">
        <v>25</v>
      </c>
      <c r="D32" s="5"/>
      <c r="E32" s="5"/>
      <c r="F32" s="5"/>
      <c r="G32" s="5"/>
      <c r="H32" s="5"/>
      <c r="I32" s="7"/>
      <c r="J32" s="5"/>
    </row>
    <row r="33" spans="1:11" ht="17.45" customHeight="1">
      <c r="A33" s="1">
        <v>1</v>
      </c>
      <c r="B33" s="2"/>
      <c r="C33" s="6">
        <v>1</v>
      </c>
      <c r="D33" s="178" t="s">
        <v>48</v>
      </c>
      <c r="E33" s="178"/>
      <c r="F33" s="178"/>
      <c r="G33" s="179"/>
      <c r="H33" s="136">
        <v>0</v>
      </c>
      <c r="I33" s="81">
        <f>IF(Y3="Under Old  Regime Slab",K33,0)</f>
        <v>0</v>
      </c>
      <c r="J33" s="5"/>
      <c r="K33" s="1">
        <f>H33</f>
        <v>0</v>
      </c>
    </row>
    <row r="34" spans="1:11" ht="17.45" customHeight="1">
      <c r="A34" s="1">
        <v>1</v>
      </c>
      <c r="B34" s="2"/>
      <c r="C34" s="6"/>
      <c r="D34" s="178" t="s">
        <v>81</v>
      </c>
      <c r="E34" s="178"/>
      <c r="F34" s="178"/>
      <c r="G34" s="178"/>
      <c r="H34" s="5"/>
      <c r="I34" s="81"/>
      <c r="J34" s="5"/>
      <c r="K34" s="1">
        <f t="shared" ref="K34:K45" si="0">H34</f>
        <v>0</v>
      </c>
    </row>
    <row r="35" spans="1:11" ht="17.45" customHeight="1">
      <c r="A35" s="1">
        <v>1</v>
      </c>
      <c r="B35" s="2"/>
      <c r="C35" s="6">
        <v>2</v>
      </c>
      <c r="D35" s="178" t="s">
        <v>49</v>
      </c>
      <c r="E35" s="178"/>
      <c r="F35" s="178"/>
      <c r="G35" s="179"/>
      <c r="H35" s="136">
        <v>0</v>
      </c>
      <c r="I35" s="81">
        <f>IF(Y3="Under Old  Regime Slab",K35,0)</f>
        <v>0</v>
      </c>
      <c r="J35" s="5"/>
      <c r="K35" s="1">
        <f t="shared" si="0"/>
        <v>0</v>
      </c>
    </row>
    <row r="36" spans="1:11" ht="17.45" customHeight="1">
      <c r="A36" s="1">
        <v>1</v>
      </c>
      <c r="B36" s="2"/>
      <c r="C36" s="6"/>
      <c r="D36" s="178" t="s">
        <v>82</v>
      </c>
      <c r="E36" s="178"/>
      <c r="F36" s="178"/>
      <c r="G36" s="178"/>
      <c r="H36" s="5"/>
      <c r="I36" s="81"/>
      <c r="J36" s="5"/>
      <c r="K36" s="1">
        <f t="shared" si="0"/>
        <v>0</v>
      </c>
    </row>
    <row r="37" spans="1:11" ht="17.45" customHeight="1">
      <c r="A37" s="1">
        <v>1</v>
      </c>
      <c r="B37" s="2"/>
      <c r="C37" s="6">
        <v>3</v>
      </c>
      <c r="D37" s="178" t="s">
        <v>50</v>
      </c>
      <c r="E37" s="178"/>
      <c r="F37" s="178"/>
      <c r="G37" s="179"/>
      <c r="H37" s="136">
        <v>0</v>
      </c>
      <c r="I37" s="81">
        <f>IF(Y3="Under Old  Regime Slab",K37,0)</f>
        <v>0</v>
      </c>
      <c r="J37" s="5"/>
      <c r="K37" s="1">
        <f t="shared" si="0"/>
        <v>0</v>
      </c>
    </row>
    <row r="38" spans="1:11" ht="17.45" customHeight="1">
      <c r="A38" s="1">
        <v>1</v>
      </c>
      <c r="B38" s="2"/>
      <c r="C38" s="6"/>
      <c r="D38" s="180" t="s">
        <v>13</v>
      </c>
      <c r="E38" s="180"/>
      <c r="F38" s="180"/>
      <c r="G38" s="180"/>
      <c r="H38" s="5"/>
      <c r="I38" s="81"/>
      <c r="J38" s="5"/>
      <c r="K38" s="1">
        <f t="shared" si="0"/>
        <v>0</v>
      </c>
    </row>
    <row r="39" spans="1:11" ht="17.45" customHeight="1">
      <c r="A39" s="1">
        <v>1</v>
      </c>
      <c r="B39" s="2"/>
      <c r="C39" s="6">
        <v>4</v>
      </c>
      <c r="D39" s="178" t="s">
        <v>51</v>
      </c>
      <c r="E39" s="178"/>
      <c r="F39" s="178"/>
      <c r="G39" s="179"/>
      <c r="H39" s="136">
        <v>0</v>
      </c>
      <c r="I39" s="81">
        <f>IF(Y3="Under Old  Regime Slab",K39,0)</f>
        <v>0</v>
      </c>
      <c r="J39" s="5"/>
      <c r="K39" s="1">
        <f t="shared" si="0"/>
        <v>0</v>
      </c>
    </row>
    <row r="40" spans="1:11" ht="17.45" customHeight="1">
      <c r="A40" s="1">
        <v>1</v>
      </c>
      <c r="B40" s="2"/>
      <c r="C40" s="6"/>
      <c r="D40" s="180" t="s">
        <v>14</v>
      </c>
      <c r="E40" s="180"/>
      <c r="F40" s="180"/>
      <c r="G40" s="180"/>
      <c r="H40" s="5"/>
      <c r="I40" s="81"/>
      <c r="J40" s="5"/>
      <c r="K40" s="1">
        <f t="shared" si="0"/>
        <v>0</v>
      </c>
    </row>
    <row r="41" spans="1:11" ht="17.45" customHeight="1">
      <c r="B41" s="2"/>
      <c r="C41" s="6">
        <v>5</v>
      </c>
      <c r="D41" s="176" t="s">
        <v>113</v>
      </c>
      <c r="E41" s="176"/>
      <c r="F41" s="176"/>
      <c r="G41" s="198"/>
      <c r="H41" s="136">
        <v>0</v>
      </c>
      <c r="I41" s="81">
        <f>IF(Y3="Under Old  Regime Slab",K41,0)</f>
        <v>0</v>
      </c>
      <c r="J41" s="5"/>
      <c r="K41" s="1">
        <f t="shared" si="0"/>
        <v>0</v>
      </c>
    </row>
    <row r="42" spans="1:11" ht="4.5" customHeight="1">
      <c r="B42" s="2"/>
      <c r="C42" s="6"/>
      <c r="D42" s="129"/>
      <c r="E42" s="129"/>
      <c r="F42" s="129"/>
      <c r="G42" s="130"/>
      <c r="H42" s="131"/>
      <c r="I42" s="81"/>
      <c r="J42" s="5"/>
      <c r="K42" s="1">
        <f t="shared" si="0"/>
        <v>0</v>
      </c>
    </row>
    <row r="43" spans="1:11" ht="17.45" customHeight="1">
      <c r="A43" s="1">
        <v>1</v>
      </c>
      <c r="B43" s="2"/>
      <c r="C43" s="6">
        <v>6</v>
      </c>
      <c r="D43" s="178" t="s">
        <v>52</v>
      </c>
      <c r="E43" s="178"/>
      <c r="F43" s="178"/>
      <c r="G43" s="179"/>
      <c r="H43" s="136">
        <v>0</v>
      </c>
      <c r="I43" s="81">
        <f>IF(Y3="Under Old  Regime Slab",K43,0)</f>
        <v>0</v>
      </c>
      <c r="J43" s="5"/>
      <c r="K43" s="1">
        <f t="shared" si="0"/>
        <v>0</v>
      </c>
    </row>
    <row r="44" spans="1:11" ht="5.25" customHeight="1">
      <c r="B44" s="2"/>
      <c r="C44" s="6"/>
      <c r="D44" s="146"/>
      <c r="E44" s="146"/>
      <c r="F44" s="146"/>
      <c r="G44" s="130"/>
      <c r="H44" s="131"/>
      <c r="I44" s="81"/>
      <c r="J44" s="5"/>
      <c r="K44" s="1">
        <f t="shared" si="0"/>
        <v>0</v>
      </c>
    </row>
    <row r="45" spans="1:11" ht="17.25" customHeight="1">
      <c r="A45" s="1">
        <v>1</v>
      </c>
      <c r="B45" s="2"/>
      <c r="C45" s="128">
        <v>7</v>
      </c>
      <c r="D45" s="190" t="s">
        <v>83</v>
      </c>
      <c r="E45" s="190"/>
      <c r="F45" s="190"/>
      <c r="G45" s="190"/>
      <c r="H45" s="136">
        <v>0</v>
      </c>
      <c r="I45" s="81">
        <f>IF(Y3="Under Old  Regime Slab",K45,0)</f>
        <v>0</v>
      </c>
      <c r="J45" s="5"/>
      <c r="K45" s="1">
        <f t="shared" si="0"/>
        <v>0</v>
      </c>
    </row>
    <row r="46" spans="1:11" ht="17.25" customHeight="1">
      <c r="B46" s="2"/>
      <c r="C46" s="128"/>
      <c r="D46" s="190" t="s">
        <v>84</v>
      </c>
      <c r="E46" s="190"/>
      <c r="F46" s="190"/>
      <c r="G46" s="190"/>
      <c r="I46" s="7"/>
      <c r="J46" s="5"/>
    </row>
    <row r="47" spans="1:11" ht="17.45" customHeight="1" thickBot="1">
      <c r="A47" s="1">
        <v>1</v>
      </c>
      <c r="B47" s="2"/>
      <c r="C47" s="6"/>
      <c r="D47" s="5"/>
      <c r="E47" s="5"/>
      <c r="F47" s="5"/>
      <c r="G47" s="197" t="s">
        <v>109</v>
      </c>
      <c r="H47" s="197"/>
      <c r="I47" s="139">
        <f>I33+I35+I37+I39+I43+I45+I41</f>
        <v>0</v>
      </c>
      <c r="J47" s="5"/>
    </row>
    <row r="48" spans="1:11" ht="17.45" customHeight="1" thickBot="1">
      <c r="A48" s="1">
        <v>1</v>
      </c>
      <c r="B48" s="2">
        <v>11</v>
      </c>
      <c r="C48" s="96" t="s">
        <v>110</v>
      </c>
      <c r="D48" s="96"/>
      <c r="E48" s="96"/>
      <c r="F48" s="96"/>
      <c r="G48" s="96"/>
      <c r="H48" s="96"/>
      <c r="I48" s="143">
        <f>I31+I47</f>
        <v>0</v>
      </c>
      <c r="J48" s="5"/>
    </row>
    <row r="49" spans="1:27" ht="17.45" customHeight="1">
      <c r="A49" s="1">
        <v>1</v>
      </c>
      <c r="B49" s="2"/>
      <c r="C49" s="97" t="s">
        <v>97</v>
      </c>
      <c r="D49" s="97"/>
      <c r="E49" s="97"/>
      <c r="F49" s="97"/>
      <c r="G49" s="96"/>
      <c r="H49" s="96"/>
      <c r="I49" s="139">
        <f>IF((I19-I48)&lt;0,"0",SUM(I19-I48))</f>
        <v>0</v>
      </c>
      <c r="J49" s="5"/>
    </row>
    <row r="50" spans="1:27" ht="17.45" customHeight="1">
      <c r="A50" s="1">
        <v>1</v>
      </c>
      <c r="B50" s="2">
        <v>12</v>
      </c>
      <c r="C50" s="96" t="s">
        <v>66</v>
      </c>
      <c r="D50" s="96"/>
      <c r="E50" s="96"/>
      <c r="F50" s="96"/>
      <c r="G50" s="96"/>
      <c r="H50" s="96"/>
      <c r="I50" s="139">
        <f>ROUND(I49,-1)</f>
        <v>0</v>
      </c>
      <c r="J50" s="5"/>
    </row>
    <row r="51" spans="1:27" ht="17.45" customHeight="1">
      <c r="A51" s="1">
        <v>1</v>
      </c>
      <c r="B51" s="2">
        <v>13</v>
      </c>
      <c r="C51" s="96" t="s">
        <v>98</v>
      </c>
      <c r="D51" s="96"/>
      <c r="E51" s="96"/>
      <c r="F51" s="99"/>
      <c r="G51" s="195" t="s">
        <v>91</v>
      </c>
      <c r="H51" s="196"/>
      <c r="I51" s="7"/>
      <c r="J51" s="5"/>
    </row>
    <row r="52" spans="1:27" ht="17.45" customHeight="1">
      <c r="A52" s="1">
        <v>1</v>
      </c>
      <c r="B52" s="2"/>
      <c r="C52" s="144">
        <v>1</v>
      </c>
      <c r="D52" s="145" t="s">
        <v>85</v>
      </c>
      <c r="E52" s="145"/>
      <c r="F52" s="145"/>
      <c r="G52" s="149" t="s">
        <v>85</v>
      </c>
      <c r="H52" s="148"/>
      <c r="I52" s="81">
        <v>0</v>
      </c>
      <c r="J52" s="5"/>
      <c r="L52" s="7"/>
      <c r="M52" s="7"/>
    </row>
    <row r="53" spans="1:27" ht="17.25" customHeight="1">
      <c r="A53" s="1">
        <v>1</v>
      </c>
      <c r="B53" s="2"/>
      <c r="C53" s="144">
        <v>2</v>
      </c>
      <c r="D53" s="145" t="s">
        <v>95</v>
      </c>
      <c r="E53" s="145"/>
      <c r="F53" s="145"/>
      <c r="G53" s="149" t="s">
        <v>88</v>
      </c>
      <c r="H53" s="148"/>
      <c r="I53" s="81">
        <f>IF(Y3="Under Old  Regime Slab",K53,M53)</f>
        <v>0</v>
      </c>
      <c r="J53" s="5"/>
      <c r="K53" s="1">
        <f>ROUND(IF(I50&lt;250000,(0),IF(I50&lt;500000,((I50-250000)*0.05),(12500))),0)</f>
        <v>0</v>
      </c>
      <c r="L53" s="7">
        <f>ROUND(IF(I50&lt;250000,(0),IF(I50&lt;500000,((I50-250000)*0.05),(12500))),0)</f>
        <v>0</v>
      </c>
      <c r="M53" s="7">
        <f>L53+L54</f>
        <v>0</v>
      </c>
      <c r="O53" s="7"/>
      <c r="P53" s="7"/>
    </row>
    <row r="54" spans="1:27" ht="17.45" customHeight="1">
      <c r="A54" s="1">
        <v>1</v>
      </c>
      <c r="B54" s="2"/>
      <c r="C54" s="144">
        <v>3</v>
      </c>
      <c r="D54" s="145" t="s">
        <v>86</v>
      </c>
      <c r="E54" s="145"/>
      <c r="F54" s="145"/>
      <c r="G54" s="149" t="s">
        <v>89</v>
      </c>
      <c r="H54" s="148"/>
      <c r="I54" s="81">
        <f>IF(Y3="Under Old  Regime Slab",K54,M55)</f>
        <v>0</v>
      </c>
      <c r="J54" s="5"/>
      <c r="K54" s="1">
        <f>ROUND(IF(I50&lt;500000,(0),IF(I50&lt;1000000,((I50-500000)*0.2),(100000))),0)</f>
        <v>0</v>
      </c>
      <c r="L54" s="7">
        <f>ROUND(IF(I50&lt;500000,(0),IF(I50&lt;750000,((I50-500000)*0.1),(25000))),0)</f>
        <v>0</v>
      </c>
      <c r="M54" s="7"/>
      <c r="AA54" s="150"/>
    </row>
    <row r="55" spans="1:27" ht="17.45" customHeight="1">
      <c r="A55" s="1">
        <v>1</v>
      </c>
      <c r="B55" s="2"/>
      <c r="C55" s="144">
        <v>4</v>
      </c>
      <c r="D55" s="145" t="s">
        <v>87</v>
      </c>
      <c r="E55" s="145"/>
      <c r="F55" s="145"/>
      <c r="G55" s="149" t="s">
        <v>90</v>
      </c>
      <c r="H55" s="148"/>
      <c r="I55" s="81">
        <f>IF(Y3="Under Old  Regime Slab",K55,M57)</f>
        <v>0</v>
      </c>
      <c r="J55" s="5"/>
      <c r="K55" s="1">
        <f>ROUND(IF(I50&lt;1000000,(0),((I50-1000000)*0.3)),0)</f>
        <v>0</v>
      </c>
      <c r="L55" s="141">
        <f>ROUND(IF(I50&lt;750000,(0),IF(I50&lt;1000000,((I50-750000)*0.15),(37500))),0)</f>
        <v>0</v>
      </c>
      <c r="M55" s="7">
        <f>L55+L56</f>
        <v>0</v>
      </c>
      <c r="AA55" s="150"/>
    </row>
    <row r="56" spans="1:27" ht="17.45" customHeight="1">
      <c r="A56" s="1">
        <v>1</v>
      </c>
      <c r="B56" s="2">
        <v>14</v>
      </c>
      <c r="C56" s="96" t="s">
        <v>67</v>
      </c>
      <c r="D56" s="96"/>
      <c r="E56" s="96"/>
      <c r="F56" s="96"/>
      <c r="G56" s="96"/>
      <c r="H56" s="96"/>
      <c r="I56" s="158">
        <f>I52+I53+I54+I55</f>
        <v>0</v>
      </c>
      <c r="J56" s="5"/>
      <c r="L56" s="141">
        <f>ROUND(IF(I50&lt;1000000,(0),IF(I50&lt;1250000,((I50-1000000)*0.2),(50000))),0)</f>
        <v>0</v>
      </c>
      <c r="AA56" s="150"/>
    </row>
    <row r="57" spans="1:27" ht="17.45" customHeight="1">
      <c r="B57" s="2">
        <v>15</v>
      </c>
      <c r="C57" s="96" t="s">
        <v>79</v>
      </c>
      <c r="D57" s="96"/>
      <c r="E57" s="96"/>
      <c r="F57" s="96"/>
      <c r="G57" s="96"/>
      <c r="H57" s="155"/>
      <c r="I57" s="81">
        <f>IF(Y3="Under Old  Regime Slab",K57,0)</f>
        <v>0</v>
      </c>
      <c r="J57" s="5"/>
      <c r="K57" s="1">
        <f>IF(N57&gt;I56,((I56)),(N57))</f>
        <v>0</v>
      </c>
      <c r="L57" s="141">
        <f>ROUND(IF(I50&lt;1250000,(0),IF(I50&lt;1500000,((I50-1250000)*0.25),(62500))),0)</f>
        <v>0</v>
      </c>
      <c r="M57" s="7">
        <f>L57+L58</f>
        <v>0</v>
      </c>
      <c r="N57" s="7">
        <f>IF(I49&lt;500001,((12500)),(0))</f>
        <v>12500</v>
      </c>
      <c r="O57" s="7">
        <f>IF(J49&lt;500001,((12500)),(0))</f>
        <v>12500</v>
      </c>
      <c r="Z57" s="150"/>
      <c r="AA57" s="150"/>
    </row>
    <row r="58" spans="1:27" ht="17.45" customHeight="1">
      <c r="A58" s="1">
        <v>1</v>
      </c>
      <c r="B58" s="2">
        <v>16</v>
      </c>
      <c r="C58" s="96" t="s">
        <v>68</v>
      </c>
      <c r="D58" s="96"/>
      <c r="E58" s="96"/>
      <c r="F58" s="96"/>
      <c r="G58" s="96"/>
      <c r="H58" s="96"/>
      <c r="I58" s="89">
        <f>I56-I57</f>
        <v>0</v>
      </c>
      <c r="J58" s="5"/>
      <c r="L58" s="141">
        <f>ROUND(IF(I50&lt;1500000,(0),IF(I50&gt;1500000,((I50-1500000)*0.3))),0)</f>
        <v>0</v>
      </c>
    </row>
    <row r="59" spans="1:27" ht="17.45" customHeight="1">
      <c r="A59" s="1">
        <v>1</v>
      </c>
      <c r="B59" s="2">
        <v>17</v>
      </c>
      <c r="C59" s="96" t="s">
        <v>77</v>
      </c>
      <c r="D59" s="96"/>
      <c r="E59" s="96"/>
      <c r="F59" s="96"/>
      <c r="G59" s="96"/>
      <c r="H59" s="96"/>
      <c r="I59" s="81">
        <f>ROUND(I58*0.04,0)</f>
        <v>0</v>
      </c>
      <c r="J59" s="5"/>
      <c r="L59" s="141"/>
    </row>
    <row r="60" spans="1:27" ht="17.45" customHeight="1">
      <c r="A60" s="1">
        <v>1</v>
      </c>
      <c r="B60" s="2">
        <v>18</v>
      </c>
      <c r="C60" s="98" t="s">
        <v>104</v>
      </c>
      <c r="D60" s="98"/>
      <c r="E60" s="98"/>
      <c r="F60" s="96"/>
      <c r="G60" s="96"/>
      <c r="H60" s="96"/>
      <c r="I60" s="89">
        <f>I58+I59</f>
        <v>0</v>
      </c>
      <c r="J60" s="5"/>
    </row>
    <row r="61" spans="1:27" ht="17.45" customHeight="1">
      <c r="A61" s="1">
        <v>1</v>
      </c>
      <c r="B61" s="2">
        <v>19</v>
      </c>
      <c r="C61" s="96" t="s">
        <v>121</v>
      </c>
      <c r="D61" s="96"/>
      <c r="E61" s="96"/>
      <c r="F61" s="96"/>
      <c r="G61" s="96"/>
      <c r="H61" s="96"/>
      <c r="I61" s="72">
        <f>'GA55'!W26</f>
        <v>0</v>
      </c>
      <c r="J61" s="5"/>
    </row>
    <row r="62" spans="1:27" ht="17.45" customHeight="1">
      <c r="A62" s="1">
        <v>1</v>
      </c>
      <c r="B62" s="2">
        <v>20</v>
      </c>
      <c r="C62" s="194" t="s">
        <v>105</v>
      </c>
      <c r="D62" s="194"/>
      <c r="E62" s="194"/>
      <c r="F62" s="194"/>
      <c r="G62" s="194"/>
      <c r="H62" s="194"/>
      <c r="I62" s="89" t="str">
        <f>IF((I60-I61)&lt;=0,"0",SUM(I60-I61))</f>
        <v>0</v>
      </c>
      <c r="J62" s="5"/>
      <c r="O62" s="82">
        <f>C67</f>
        <v>0</v>
      </c>
    </row>
    <row r="63" spans="1:27" ht="17.45" customHeight="1">
      <c r="A63" s="1">
        <v>1</v>
      </c>
      <c r="B63" s="2">
        <v>21</v>
      </c>
      <c r="C63" s="127" t="s">
        <v>106</v>
      </c>
      <c r="D63" s="99"/>
      <c r="E63" s="99"/>
      <c r="F63" s="99"/>
      <c r="G63" s="99"/>
      <c r="H63" s="96"/>
      <c r="I63" s="90">
        <f>IF(I62=0,W62,(C67+F67+G67+I61-I60))</f>
        <v>0</v>
      </c>
      <c r="W63" s="121">
        <f>IF(I62&gt;0,(C67+F67+G67-I62),0)</f>
        <v>0</v>
      </c>
    </row>
    <row r="64" spans="1:27" ht="5.25" customHeight="1">
      <c r="A64" s="1">
        <v>1</v>
      </c>
      <c r="B64" s="2"/>
      <c r="C64" s="4"/>
      <c r="D64" s="4"/>
      <c r="E64" s="4"/>
      <c r="F64" s="4"/>
      <c r="G64" s="4"/>
      <c r="H64" s="5"/>
      <c r="I64" s="7"/>
      <c r="W64" s="122">
        <f>IF(I61&lt;I60,(C67+F67+G67-I60),W66)</f>
        <v>0</v>
      </c>
    </row>
    <row r="65" spans="1:13" ht="17.25" customHeight="1">
      <c r="A65" s="1">
        <v>1</v>
      </c>
      <c r="B65" s="2"/>
      <c r="C65" s="173" t="s">
        <v>120</v>
      </c>
      <c r="D65" s="174"/>
      <c r="E65" s="174"/>
      <c r="F65" s="174"/>
      <c r="G65" s="175"/>
      <c r="H65" s="5"/>
      <c r="I65" s="7"/>
      <c r="J65" s="5"/>
      <c r="L65" s="10"/>
      <c r="M65" s="10"/>
    </row>
    <row r="66" spans="1:13" ht="18" customHeight="1">
      <c r="A66" s="1">
        <v>1</v>
      </c>
      <c r="C66" s="187">
        <v>44531</v>
      </c>
      <c r="D66" s="174"/>
      <c r="E66" s="174"/>
      <c r="F66" s="166">
        <v>44562</v>
      </c>
      <c r="G66" s="166">
        <v>44593</v>
      </c>
      <c r="H66" s="192" t="s">
        <v>16</v>
      </c>
      <c r="I66" s="193"/>
      <c r="J66" s="193"/>
    </row>
    <row r="67" spans="1:13" ht="18" customHeight="1">
      <c r="A67" s="1">
        <v>1</v>
      </c>
      <c r="C67" s="167">
        <f>ROUND(I62/3,-2)</f>
        <v>0</v>
      </c>
      <c r="D67" s="168"/>
      <c r="E67" s="168"/>
      <c r="F67" s="164">
        <f>C67</f>
        <v>0</v>
      </c>
      <c r="G67" s="164">
        <f>I62-C67-F67</f>
        <v>0</v>
      </c>
      <c r="H67" s="171" t="s">
        <v>53</v>
      </c>
      <c r="I67" s="172"/>
      <c r="J67" s="172"/>
    </row>
    <row r="68" spans="1:13" ht="12" customHeight="1">
      <c r="A68" s="1">
        <v>1</v>
      </c>
      <c r="C68" s="46"/>
      <c r="D68" s="46"/>
      <c r="E68" s="46"/>
      <c r="F68" s="46"/>
      <c r="G68" s="191" t="s">
        <v>80</v>
      </c>
      <c r="H68" s="191"/>
      <c r="I68" s="191"/>
      <c r="J68" s="191"/>
    </row>
    <row r="69" spans="1:13" ht="7.5" hidden="1" customHeight="1">
      <c r="A69" s="1">
        <v>1</v>
      </c>
    </row>
  </sheetData>
  <sheetProtection password="CCE3" sheet="1" objects="1" scenarios="1" formatCells="0" formatColumns="0" formatRows="0" insertColumns="0" insertRows="0" insertHyperlinks="0" deleteColumns="0" deleteRows="0" sort="0" autoFilter="0" pivotTables="0"/>
  <mergeCells count="31">
    <mergeCell ref="I3:J3"/>
    <mergeCell ref="B3:G3"/>
    <mergeCell ref="D45:G45"/>
    <mergeCell ref="G68:J68"/>
    <mergeCell ref="H66:J66"/>
    <mergeCell ref="C62:H62"/>
    <mergeCell ref="D36:G36"/>
    <mergeCell ref="D37:G37"/>
    <mergeCell ref="D38:G38"/>
    <mergeCell ref="G51:H51"/>
    <mergeCell ref="G47:H47"/>
    <mergeCell ref="D41:G41"/>
    <mergeCell ref="D43:G43"/>
    <mergeCell ref="D46:G46"/>
    <mergeCell ref="C14:G14"/>
    <mergeCell ref="C67:E67"/>
    <mergeCell ref="Y1:AE1"/>
    <mergeCell ref="I4:J4"/>
    <mergeCell ref="E4:G4"/>
    <mergeCell ref="H67:J67"/>
    <mergeCell ref="C65:G65"/>
    <mergeCell ref="C5:H5"/>
    <mergeCell ref="D39:G39"/>
    <mergeCell ref="D40:G40"/>
    <mergeCell ref="D33:G33"/>
    <mergeCell ref="D34:G34"/>
    <mergeCell ref="D35:G35"/>
    <mergeCell ref="Y3:AB3"/>
    <mergeCell ref="C18:G18"/>
    <mergeCell ref="B1:J1"/>
    <mergeCell ref="C66:E66"/>
  </mergeCells>
  <phoneticPr fontId="0" type="noConversion"/>
  <dataValidations count="6">
    <dataValidation type="whole" operator="lessThanOrEqual" allowBlank="1" showInputMessage="1" showErrorMessage="1" error="Should be less than 125000" prompt="Should be less than 125000" sqref="H45">
      <formula1>125000</formula1>
    </dataValidation>
    <dataValidation type="whole" operator="lessThanOrEqual" allowBlank="1" showInputMessage="1" showErrorMessage="1" error="Should be Less than 2.00 Lacs" prompt="Should be Less than 2.00 Lacs" sqref="H18">
      <formula1>200000</formula1>
    </dataValidation>
    <dataValidation type="whole" operator="lessThanOrEqual" allowBlank="1" showInputMessage="1" showErrorMessage="1" error="Should be less than 25000" prompt="Should be less than 25000" sqref="H33">
      <formula1>25000</formula1>
    </dataValidation>
    <dataValidation type="list" allowBlank="1" showInputMessage="1" showErrorMessage="1" sqref="Y3">
      <formula1>$AD$3:$AD$4</formula1>
    </dataValidation>
    <dataValidation type="whole" operator="lessThanOrEqual" allowBlank="1" showInputMessage="1" showErrorMessage="1" error="Should be Less than 50000" prompt="Should be Less than 50000" sqref="H41">
      <formula1>50000</formula1>
    </dataValidation>
    <dataValidation type="whole" operator="lessThanOrEqual" allowBlank="1" showInputMessage="1" showErrorMessage="1" error="Should be less than 125000" prompt="Should be less than 125000" sqref="H35">
      <formula1>125000</formula1>
    </dataValidation>
  </dataValidations>
  <pageMargins left="0.38" right="7.8740157480315001E-2" top="0.15" bottom="0.16" header="7.8740157480315001E-2" footer="0.16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80"/>
  <sheetViews>
    <sheetView tabSelected="1" view="pageBreakPreview" topLeftCell="C1" zoomScale="90" zoomScaleSheetLayoutView="90" workbookViewId="0">
      <selection activeCell="D9" sqref="D9"/>
    </sheetView>
  </sheetViews>
  <sheetFormatPr defaultRowHeight="18" customHeight="1"/>
  <cols>
    <col min="1" max="1" width="0" style="14" hidden="1" customWidth="1"/>
    <col min="2" max="2" width="3.7109375" style="14" hidden="1" customWidth="1"/>
    <col min="3" max="3" width="13.42578125" style="14" customWidth="1"/>
    <col min="4" max="4" width="9.28515625" style="14" customWidth="1"/>
    <col min="5" max="5" width="6.7109375" style="14" customWidth="1"/>
    <col min="6" max="6" width="6.28515625" style="14" hidden="1" customWidth="1"/>
    <col min="7" max="7" width="9.42578125" style="14" customWidth="1"/>
    <col min="8" max="8" width="9" style="14" customWidth="1"/>
    <col min="9" max="9" width="7.7109375" style="14" customWidth="1"/>
    <col min="10" max="10" width="8.5703125" style="14" bestFit="1" customWidth="1"/>
    <col min="11" max="11" width="10.140625" style="14" customWidth="1"/>
    <col min="12" max="12" width="8" style="14" customWidth="1"/>
    <col min="13" max="13" width="8.7109375" style="14" customWidth="1"/>
    <col min="14" max="14" width="7" style="14" hidden="1" customWidth="1"/>
    <col min="15" max="16" width="9.42578125" style="14" customWidth="1"/>
    <col min="17" max="17" width="6.42578125" style="14" customWidth="1"/>
    <col min="18" max="18" width="5.28515625" style="14" customWidth="1"/>
    <col min="19" max="19" width="6.5703125" style="14" customWidth="1"/>
    <col min="20" max="20" width="6.7109375" style="14" customWidth="1"/>
    <col min="21" max="21" width="7.28515625" style="14" customWidth="1"/>
    <col min="22" max="22" width="7.140625" style="14" customWidth="1"/>
    <col min="23" max="23" width="9.140625" style="14"/>
    <col min="24" max="24" width="10.140625" style="14" customWidth="1"/>
    <col min="25" max="25" width="10.28515625" style="14" customWidth="1"/>
    <col min="26" max="27" width="7" style="14" customWidth="1"/>
    <col min="28" max="28" width="1.28515625" style="14" customWidth="1"/>
    <col min="29" max="30" width="15.28515625" style="14" bestFit="1" customWidth="1"/>
    <col min="31" max="32" width="15.140625" style="14" bestFit="1" customWidth="1"/>
    <col min="33" max="33" width="9.140625" style="14"/>
    <col min="34" max="34" width="9.140625" style="14" hidden="1" customWidth="1"/>
    <col min="35" max="35" width="9.140625" style="14"/>
    <col min="36" max="36" width="9.140625" style="14" customWidth="1"/>
    <col min="37" max="37" width="13.7109375" style="14" hidden="1" customWidth="1"/>
    <col min="38" max="40" width="9.140625" style="14" hidden="1" customWidth="1"/>
    <col min="41" max="43" width="9.140625" style="14" customWidth="1"/>
    <col min="44" max="16384" width="9.140625" style="14"/>
  </cols>
  <sheetData>
    <row r="1" spans="1:52" customFormat="1" ht="27.75">
      <c r="A1">
        <v>1</v>
      </c>
      <c r="C1" s="242" t="s">
        <v>30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53"/>
      <c r="AH1" s="42"/>
      <c r="AI1" s="42"/>
      <c r="AJ1" s="42"/>
      <c r="AK1" s="42"/>
      <c r="AL1" s="42"/>
      <c r="AM1" s="42"/>
      <c r="AN1" s="42"/>
      <c r="AO1" s="42"/>
    </row>
    <row r="2" spans="1:52" customFormat="1" ht="18" customHeight="1">
      <c r="A2">
        <v>1</v>
      </c>
      <c r="B2">
        <v>1</v>
      </c>
      <c r="C2" s="42"/>
      <c r="D2" s="42"/>
      <c r="E2" s="42"/>
      <c r="F2" s="43" t="s">
        <v>31</v>
      </c>
      <c r="G2" s="42"/>
      <c r="H2" s="42"/>
      <c r="I2" s="42"/>
      <c r="J2" s="42"/>
      <c r="K2" s="218" t="s">
        <v>38</v>
      </c>
      <c r="L2" s="218"/>
      <c r="M2" s="218"/>
      <c r="N2" s="218"/>
      <c r="O2" s="216" t="s">
        <v>115</v>
      </c>
      <c r="P2" s="216"/>
      <c r="Q2" s="216"/>
      <c r="R2" s="216"/>
      <c r="S2" s="216"/>
      <c r="T2" s="216"/>
      <c r="U2" s="42"/>
      <c r="V2" s="42"/>
      <c r="W2" s="42"/>
      <c r="X2" s="219" t="s">
        <v>116</v>
      </c>
      <c r="Y2" s="219"/>
      <c r="Z2" s="219"/>
      <c r="AA2" s="42"/>
      <c r="AB2" s="42"/>
      <c r="AH2" s="42"/>
      <c r="AI2" s="42"/>
      <c r="AJ2" s="42"/>
      <c r="AK2" s="42"/>
      <c r="AL2" s="42"/>
      <c r="AM2" s="42"/>
      <c r="AN2" s="42"/>
      <c r="AO2" s="42"/>
    </row>
    <row r="3" spans="1:52" customFormat="1" ht="18" customHeight="1">
      <c r="A3">
        <v>1</v>
      </c>
      <c r="B3">
        <v>1</v>
      </c>
      <c r="C3" s="217" t="s">
        <v>32</v>
      </c>
      <c r="D3" s="217"/>
      <c r="E3" s="217"/>
      <c r="F3" s="217"/>
      <c r="G3" s="197"/>
      <c r="H3" s="197"/>
      <c r="I3" s="217" t="s">
        <v>39</v>
      </c>
      <c r="J3" s="217"/>
      <c r="K3" s="197"/>
      <c r="L3" s="197"/>
      <c r="M3" s="197"/>
      <c r="N3" s="197"/>
      <c r="O3" s="197"/>
      <c r="P3" s="1"/>
      <c r="Q3" s="1"/>
      <c r="R3" s="1"/>
      <c r="S3" s="39" t="s">
        <v>33</v>
      </c>
      <c r="T3" s="197"/>
      <c r="U3" s="197"/>
      <c r="V3" s="197"/>
      <c r="W3" s="14"/>
      <c r="X3" s="14"/>
      <c r="Y3" s="14"/>
      <c r="Z3" s="14"/>
      <c r="AA3" s="14"/>
      <c r="AB3" s="14"/>
      <c r="AH3" s="42"/>
      <c r="AI3" s="42"/>
      <c r="AJ3" s="42"/>
      <c r="AK3" s="42"/>
      <c r="AL3" s="42"/>
      <c r="AM3" s="42"/>
      <c r="AN3" s="42"/>
      <c r="AO3" s="42"/>
    </row>
    <row r="4" spans="1:52" customFormat="1" ht="18" customHeight="1">
      <c r="A4">
        <v>1</v>
      </c>
      <c r="B4">
        <v>1</v>
      </c>
      <c r="C4" s="220" t="s">
        <v>69</v>
      </c>
      <c r="D4" s="220"/>
      <c r="E4" s="101" t="s">
        <v>40</v>
      </c>
      <c r="F4" s="77"/>
      <c r="G4" s="77"/>
      <c r="H4" s="77"/>
      <c r="I4" s="77"/>
      <c r="J4" s="77"/>
      <c r="K4" s="77"/>
      <c r="L4" s="77"/>
      <c r="M4" s="14"/>
      <c r="N4" s="38"/>
      <c r="O4" s="100" t="s">
        <v>58</v>
      </c>
      <c r="P4" s="101" t="s">
        <v>47</v>
      </c>
      <c r="Q4" s="14"/>
      <c r="R4" s="38"/>
      <c r="S4" s="44"/>
      <c r="T4" s="14"/>
      <c r="U4" s="14"/>
      <c r="V4" s="14"/>
      <c r="W4" s="217" t="s">
        <v>12</v>
      </c>
      <c r="X4" s="217"/>
      <c r="Y4" s="102">
        <v>123</v>
      </c>
      <c r="Z4" s="5"/>
      <c r="AA4" s="14"/>
      <c r="AB4" s="14"/>
      <c r="AH4" s="42"/>
      <c r="AI4" s="42"/>
      <c r="AJ4" s="42"/>
      <c r="AK4" s="42"/>
      <c r="AL4" s="42"/>
      <c r="AM4" s="42"/>
      <c r="AN4" s="42"/>
      <c r="AO4" s="42"/>
    </row>
    <row r="5" spans="1:52" ht="10.5" customHeight="1">
      <c r="A5">
        <v>1</v>
      </c>
      <c r="B5">
        <v>1</v>
      </c>
      <c r="C5" s="18"/>
      <c r="D5" s="19"/>
      <c r="E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AC5" s="16"/>
      <c r="AD5" s="16"/>
      <c r="AE5" s="16"/>
      <c r="AF5" s="16"/>
      <c r="AG5" s="17"/>
      <c r="AH5" s="42"/>
      <c r="AI5" s="42"/>
      <c r="AJ5" s="42"/>
      <c r="AK5" s="42"/>
      <c r="AL5" s="42"/>
      <c r="AM5" s="42"/>
      <c r="AN5" s="42"/>
      <c r="AO5" s="42"/>
      <c r="AZ5" s="34"/>
    </row>
    <row r="6" spans="1:52" ht="18" customHeight="1" thickBot="1">
      <c r="A6">
        <v>1</v>
      </c>
      <c r="B6">
        <v>1</v>
      </c>
      <c r="C6" s="204" t="s">
        <v>9</v>
      </c>
      <c r="D6" s="202" t="s">
        <v>2</v>
      </c>
      <c r="E6" s="202" t="s">
        <v>3</v>
      </c>
      <c r="F6" s="202" t="s">
        <v>4</v>
      </c>
      <c r="G6" s="202" t="s">
        <v>4</v>
      </c>
      <c r="H6" s="202" t="s">
        <v>5</v>
      </c>
      <c r="I6" s="223" t="s">
        <v>43</v>
      </c>
      <c r="J6" s="202" t="s">
        <v>6</v>
      </c>
      <c r="K6" s="204" t="s">
        <v>7</v>
      </c>
      <c r="L6" s="201" t="s">
        <v>0</v>
      </c>
      <c r="M6" s="201"/>
      <c r="N6" s="201"/>
      <c r="O6" s="201" t="s">
        <v>1</v>
      </c>
      <c r="P6" s="201"/>
      <c r="Q6" s="246" t="s">
        <v>35</v>
      </c>
      <c r="R6" s="247"/>
      <c r="S6" s="199" t="s">
        <v>15</v>
      </c>
      <c r="T6" s="225" t="s">
        <v>124</v>
      </c>
      <c r="U6" s="223" t="s">
        <v>99</v>
      </c>
      <c r="V6" s="202" t="s">
        <v>10</v>
      </c>
      <c r="W6" s="202" t="s">
        <v>11</v>
      </c>
      <c r="X6" s="221" t="s">
        <v>8</v>
      </c>
      <c r="Y6" s="221" t="s">
        <v>37</v>
      </c>
      <c r="Z6" s="241" t="s">
        <v>24</v>
      </c>
      <c r="AA6" s="240" t="s">
        <v>26</v>
      </c>
      <c r="AB6" s="54"/>
      <c r="AC6" s="21"/>
      <c r="AD6" s="21"/>
      <c r="AE6" s="21"/>
      <c r="AF6" s="21"/>
      <c r="AG6" s="17"/>
      <c r="AH6" s="42"/>
      <c r="AI6" s="42"/>
      <c r="AJ6" s="42"/>
      <c r="AK6" s="42"/>
      <c r="AL6" s="42"/>
      <c r="AM6" s="42"/>
      <c r="AN6" s="42"/>
      <c r="AO6" s="42"/>
    </row>
    <row r="7" spans="1:52" ht="18" customHeight="1">
      <c r="A7">
        <v>1</v>
      </c>
      <c r="B7">
        <v>1</v>
      </c>
      <c r="C7" s="205"/>
      <c r="D7" s="203"/>
      <c r="E7" s="203"/>
      <c r="F7" s="203"/>
      <c r="G7" s="203"/>
      <c r="H7" s="203"/>
      <c r="I7" s="224"/>
      <c r="J7" s="203"/>
      <c r="K7" s="205"/>
      <c r="L7" s="20" t="s">
        <v>0</v>
      </c>
      <c r="M7" s="20" t="s">
        <v>29</v>
      </c>
      <c r="N7" s="20" t="s">
        <v>27</v>
      </c>
      <c r="O7" s="20" t="s">
        <v>28</v>
      </c>
      <c r="P7" s="20" t="s">
        <v>29</v>
      </c>
      <c r="Q7" s="30" t="s">
        <v>28</v>
      </c>
      <c r="R7" s="30" t="s">
        <v>36</v>
      </c>
      <c r="S7" s="200"/>
      <c r="T7" s="226"/>
      <c r="U7" s="224"/>
      <c r="V7" s="203"/>
      <c r="W7" s="203"/>
      <c r="X7" s="222"/>
      <c r="Y7" s="222"/>
      <c r="Z7" s="241"/>
      <c r="AA7" s="240"/>
      <c r="AB7" s="54"/>
      <c r="AC7" s="21"/>
      <c r="AD7" s="209" t="s">
        <v>45</v>
      </c>
      <c r="AE7" s="207"/>
      <c r="AF7" s="207"/>
      <c r="AG7" s="210"/>
      <c r="AH7" s="63"/>
      <c r="AI7" s="42"/>
      <c r="AJ7" s="42"/>
      <c r="AK7" s="42"/>
      <c r="AL7" s="75">
        <v>0</v>
      </c>
      <c r="AM7" s="42">
        <f>IF(AF9=0,0,IF(AF9=9,8,IF(AF9=18,16)))</f>
        <v>16</v>
      </c>
      <c r="AN7" s="64"/>
      <c r="AO7" s="42"/>
    </row>
    <row r="8" spans="1:52" s="23" customFormat="1" ht="30.75" customHeight="1" thickBot="1">
      <c r="A8">
        <v>1</v>
      </c>
      <c r="B8">
        <v>1</v>
      </c>
      <c r="C8" s="31">
        <v>44256</v>
      </c>
      <c r="D8" s="83">
        <v>0</v>
      </c>
      <c r="E8" s="84">
        <v>0</v>
      </c>
      <c r="F8" s="84">
        <v>0</v>
      </c>
      <c r="G8" s="83">
        <f>ROUND((D8+E8)*0.17,0)</f>
        <v>0</v>
      </c>
      <c r="H8" s="84">
        <f>ROUND((D8+E8)*AM7/100,0)</f>
        <v>0</v>
      </c>
      <c r="I8" s="84">
        <v>0</v>
      </c>
      <c r="J8" s="83">
        <f t="shared" ref="J8:J18" si="0">IF($AF$9=(8),SUM(0),SUM(AN8))</f>
        <v>0</v>
      </c>
      <c r="K8" s="119">
        <f>D8+E8+F8+G8+H8+J8+I8</f>
        <v>0</v>
      </c>
      <c r="L8" s="84">
        <v>0</v>
      </c>
      <c r="M8" s="84">
        <v>0</v>
      </c>
      <c r="N8" s="87">
        <v>0</v>
      </c>
      <c r="O8" s="83">
        <v>0</v>
      </c>
      <c r="P8" s="83">
        <v>0</v>
      </c>
      <c r="Q8" s="84">
        <v>0</v>
      </c>
      <c r="R8" s="84">
        <v>0</v>
      </c>
      <c r="S8" s="84">
        <v>0</v>
      </c>
      <c r="T8" s="83">
        <f t="shared" ref="T8:T10" si="1">IF(D8&gt;54000,SUM(875),IF(D8&gt;33500,SUM(658),IF(D8&gt;18000,SUM(440),IF(D8&gt;1000,SUM(265),SUM(0)))))</f>
        <v>0</v>
      </c>
      <c r="U8" s="84">
        <v>0</v>
      </c>
      <c r="V8" s="84">
        <v>0</v>
      </c>
      <c r="W8" s="84">
        <v>0</v>
      </c>
      <c r="X8" s="116">
        <f t="shared" ref="X8:X25" si="2">SUM(L8:W8)</f>
        <v>0</v>
      </c>
      <c r="Y8" s="116">
        <f>K8-X8</f>
        <v>0</v>
      </c>
      <c r="Z8" s="35"/>
      <c r="AA8" s="35"/>
      <c r="AB8" s="55"/>
      <c r="AC8" s="16"/>
      <c r="AD8" s="213"/>
      <c r="AE8" s="214"/>
      <c r="AF8" s="214"/>
      <c r="AG8" s="215"/>
      <c r="AH8" s="65"/>
      <c r="AI8" s="66"/>
      <c r="AJ8" s="66"/>
      <c r="AK8" s="66"/>
      <c r="AL8" s="76">
        <v>9</v>
      </c>
      <c r="AM8" s="42"/>
      <c r="AN8" s="64">
        <f t="shared" ref="AN8:AN15" si="3">IF(D8&gt;23100,SUM(620),IF(D8&gt;100,SUM(320),SUM(0)))</f>
        <v>0</v>
      </c>
      <c r="AO8" s="66"/>
    </row>
    <row r="9" spans="1:52" s="23" customFormat="1" ht="30.75" customHeight="1">
      <c r="A9">
        <v>1</v>
      </c>
      <c r="B9">
        <v>1</v>
      </c>
      <c r="C9" s="31">
        <v>44287</v>
      </c>
      <c r="D9" s="83">
        <f>D8</f>
        <v>0</v>
      </c>
      <c r="E9" s="84">
        <v>0</v>
      </c>
      <c r="F9" s="84">
        <v>0</v>
      </c>
      <c r="G9" s="83">
        <f t="shared" ref="G9:G11" si="4">ROUND((D9+E9)*0.17,0)</f>
        <v>0</v>
      </c>
      <c r="H9" s="84">
        <f>ROUND((D9+E9)*AM7/100,0)</f>
        <v>0</v>
      </c>
      <c r="I9" s="84">
        <f>I8</f>
        <v>0</v>
      </c>
      <c r="J9" s="83">
        <f t="shared" si="0"/>
        <v>0</v>
      </c>
      <c r="K9" s="119">
        <f t="shared" ref="K9:K21" si="5">D9+E9+F9+G9+H9+J9+I9</f>
        <v>0</v>
      </c>
      <c r="L9" s="83">
        <f>L8</f>
        <v>0</v>
      </c>
      <c r="M9" s="84">
        <f>M8</f>
        <v>0</v>
      </c>
      <c r="N9" s="87">
        <v>0</v>
      </c>
      <c r="O9" s="83">
        <f t="shared" ref="O9:S19" si="6">O8</f>
        <v>0</v>
      </c>
      <c r="P9" s="83">
        <f>P8</f>
        <v>0</v>
      </c>
      <c r="Q9" s="84">
        <f>Q8</f>
        <v>0</v>
      </c>
      <c r="R9" s="84">
        <f>R8</f>
        <v>0</v>
      </c>
      <c r="S9" s="84">
        <f>S8</f>
        <v>0</v>
      </c>
      <c r="T9" s="83">
        <f t="shared" si="1"/>
        <v>0</v>
      </c>
      <c r="U9" s="85">
        <v>0</v>
      </c>
      <c r="V9" s="115">
        <f>IF(D9=0,0,220)</f>
        <v>0</v>
      </c>
      <c r="W9" s="84">
        <f t="shared" ref="W9:W16" si="7">W8</f>
        <v>0</v>
      </c>
      <c r="X9" s="116">
        <f t="shared" si="2"/>
        <v>0</v>
      </c>
      <c r="Y9" s="116">
        <f t="shared" ref="Y9:Y23" si="8">K9-X9</f>
        <v>0</v>
      </c>
      <c r="Z9" s="35"/>
      <c r="AA9" s="35"/>
      <c r="AB9" s="55"/>
      <c r="AC9" s="16"/>
      <c r="AD9" s="235" t="s">
        <v>41</v>
      </c>
      <c r="AE9" s="235"/>
      <c r="AF9" s="73">
        <v>18</v>
      </c>
      <c r="AG9" s="74" t="s">
        <v>42</v>
      </c>
      <c r="AH9" s="66"/>
      <c r="AI9" s="66"/>
      <c r="AJ9" s="66"/>
      <c r="AK9" s="83">
        <f>IF(AF9=20,SUM(16),IF(AF9=10,SUM(8),SUM(0)))</f>
        <v>0</v>
      </c>
      <c r="AL9" s="76">
        <v>18</v>
      </c>
      <c r="AM9" s="42"/>
      <c r="AN9" s="64">
        <f t="shared" si="3"/>
        <v>0</v>
      </c>
      <c r="AO9" s="66"/>
    </row>
    <row r="10" spans="1:52" s="23" customFormat="1" ht="30.75" customHeight="1" thickBot="1">
      <c r="A10">
        <v>1</v>
      </c>
      <c r="B10">
        <v>1</v>
      </c>
      <c r="C10" s="31">
        <v>44317</v>
      </c>
      <c r="D10" s="83">
        <f>D9</f>
        <v>0</v>
      </c>
      <c r="E10" s="84">
        <v>0</v>
      </c>
      <c r="F10" s="84">
        <v>0</v>
      </c>
      <c r="G10" s="83">
        <f t="shared" si="4"/>
        <v>0</v>
      </c>
      <c r="H10" s="84">
        <f>ROUND((D10+E10)*AM7/100,0)</f>
        <v>0</v>
      </c>
      <c r="I10" s="84">
        <f t="shared" ref="I10:I19" si="9">I9</f>
        <v>0</v>
      </c>
      <c r="J10" s="83">
        <f t="shared" si="0"/>
        <v>0</v>
      </c>
      <c r="K10" s="119">
        <f t="shared" si="5"/>
        <v>0</v>
      </c>
      <c r="L10" s="83">
        <f t="shared" ref="L10:M19" si="10">L9</f>
        <v>0</v>
      </c>
      <c r="M10" s="84">
        <f t="shared" si="10"/>
        <v>0</v>
      </c>
      <c r="N10" s="87">
        <v>0</v>
      </c>
      <c r="O10" s="83">
        <f t="shared" si="6"/>
        <v>0</v>
      </c>
      <c r="P10" s="83">
        <f t="shared" si="6"/>
        <v>0</v>
      </c>
      <c r="Q10" s="84">
        <f t="shared" si="6"/>
        <v>0</v>
      </c>
      <c r="R10" s="84">
        <f t="shared" si="6"/>
        <v>0</v>
      </c>
      <c r="S10" s="84">
        <f t="shared" si="6"/>
        <v>0</v>
      </c>
      <c r="T10" s="83">
        <f t="shared" si="1"/>
        <v>0</v>
      </c>
      <c r="U10" s="85">
        <v>0</v>
      </c>
      <c r="V10" s="88">
        <v>0</v>
      </c>
      <c r="W10" s="84">
        <f t="shared" si="7"/>
        <v>0</v>
      </c>
      <c r="X10" s="116">
        <f t="shared" si="2"/>
        <v>0</v>
      </c>
      <c r="Y10" s="116">
        <f t="shared" si="8"/>
        <v>0</v>
      </c>
      <c r="Z10" s="35"/>
      <c r="AA10" s="35"/>
      <c r="AB10" s="55"/>
      <c r="AC10" s="16"/>
      <c r="AD10" s="22"/>
      <c r="AE10" s="22"/>
      <c r="AF10" s="21"/>
      <c r="AG10" s="24"/>
      <c r="AH10" s="66"/>
      <c r="AI10" s="66"/>
      <c r="AJ10" s="66"/>
      <c r="AK10" s="66"/>
      <c r="AL10" s="66"/>
      <c r="AM10" s="66"/>
      <c r="AN10" s="64">
        <f t="shared" si="3"/>
        <v>0</v>
      </c>
      <c r="AO10" s="66"/>
    </row>
    <row r="11" spans="1:52" s="23" customFormat="1" ht="30.75" customHeight="1">
      <c r="A11">
        <v>1</v>
      </c>
      <c r="B11">
        <v>1</v>
      </c>
      <c r="C11" s="31">
        <v>44348</v>
      </c>
      <c r="D11" s="83">
        <f>D10</f>
        <v>0</v>
      </c>
      <c r="E11" s="84">
        <v>0</v>
      </c>
      <c r="F11" s="84">
        <v>0</v>
      </c>
      <c r="G11" s="83">
        <f t="shared" si="4"/>
        <v>0</v>
      </c>
      <c r="H11" s="84">
        <f>ROUND((D11+E11)*AM7/100,0)</f>
        <v>0</v>
      </c>
      <c r="I11" s="84">
        <f t="shared" si="9"/>
        <v>0</v>
      </c>
      <c r="J11" s="83">
        <f t="shared" si="0"/>
        <v>0</v>
      </c>
      <c r="K11" s="119">
        <f t="shared" si="5"/>
        <v>0</v>
      </c>
      <c r="L11" s="83">
        <f t="shared" si="10"/>
        <v>0</v>
      </c>
      <c r="M11" s="84">
        <f t="shared" si="10"/>
        <v>0</v>
      </c>
      <c r="N11" s="87">
        <v>0</v>
      </c>
      <c r="O11" s="83">
        <f t="shared" si="6"/>
        <v>0</v>
      </c>
      <c r="P11" s="83">
        <f t="shared" si="6"/>
        <v>0</v>
      </c>
      <c r="Q11" s="84">
        <f t="shared" si="6"/>
        <v>0</v>
      </c>
      <c r="R11" s="84">
        <f t="shared" si="6"/>
        <v>0</v>
      </c>
      <c r="S11" s="84">
        <f t="shared" si="6"/>
        <v>0</v>
      </c>
      <c r="T11" s="83">
        <f t="shared" ref="T11:T19" si="11">IF(D11&gt;54000,SUM(875),IF(D11&gt;33500,SUM(658),IF(D11&gt;18000,SUM(440),IF(D11&gt;1000,SUM(265),SUM(0)))))</f>
        <v>0</v>
      </c>
      <c r="U11" s="85">
        <v>0</v>
      </c>
      <c r="V11" s="84">
        <v>0</v>
      </c>
      <c r="W11" s="84">
        <f t="shared" si="7"/>
        <v>0</v>
      </c>
      <c r="X11" s="116">
        <f t="shared" si="2"/>
        <v>0</v>
      </c>
      <c r="Y11" s="116">
        <f t="shared" si="8"/>
        <v>0</v>
      </c>
      <c r="Z11" s="35"/>
      <c r="AA11" s="35"/>
      <c r="AB11" s="55"/>
      <c r="AC11" s="209" t="s">
        <v>44</v>
      </c>
      <c r="AD11" s="207"/>
      <c r="AE11" s="207"/>
      <c r="AF11" s="207"/>
      <c r="AG11" s="210"/>
      <c r="AH11" s="66"/>
      <c r="AI11" s="66"/>
      <c r="AJ11" s="66"/>
      <c r="AK11" s="66"/>
      <c r="AL11" s="66"/>
      <c r="AM11" s="66"/>
      <c r="AN11" s="64">
        <f t="shared" si="3"/>
        <v>0</v>
      </c>
      <c r="AO11" s="66"/>
    </row>
    <row r="12" spans="1:52" s="60" customFormat="1" ht="30.75" customHeight="1">
      <c r="A12" s="59">
        <v>1</v>
      </c>
      <c r="B12" s="59">
        <v>1</v>
      </c>
      <c r="C12" s="31">
        <v>44378</v>
      </c>
      <c r="D12" s="124">
        <f>ROUND(D11*0.03,-2)+D11</f>
        <v>0</v>
      </c>
      <c r="E12" s="84">
        <v>0</v>
      </c>
      <c r="F12" s="84">
        <v>0</v>
      </c>
      <c r="G12" s="83">
        <f>ROUND((D12+E12)*0.28,0)</f>
        <v>0</v>
      </c>
      <c r="H12" s="84">
        <f>ROUND((D12+E12)*AM7/100,0)</f>
        <v>0</v>
      </c>
      <c r="I12" s="84">
        <f t="shared" si="9"/>
        <v>0</v>
      </c>
      <c r="J12" s="83">
        <f t="shared" si="0"/>
        <v>0</v>
      </c>
      <c r="K12" s="119">
        <f t="shared" si="5"/>
        <v>0</v>
      </c>
      <c r="L12" s="83">
        <f t="shared" si="10"/>
        <v>0</v>
      </c>
      <c r="M12" s="84">
        <f t="shared" si="10"/>
        <v>0</v>
      </c>
      <c r="N12" s="87">
        <v>0</v>
      </c>
      <c r="O12" s="83">
        <f t="shared" si="6"/>
        <v>0</v>
      </c>
      <c r="P12" s="83">
        <f t="shared" si="6"/>
        <v>0</v>
      </c>
      <c r="Q12" s="84">
        <f t="shared" si="6"/>
        <v>0</v>
      </c>
      <c r="R12" s="84">
        <f t="shared" si="6"/>
        <v>0</v>
      </c>
      <c r="S12" s="84">
        <f t="shared" si="6"/>
        <v>0</v>
      </c>
      <c r="T12" s="83">
        <f t="shared" si="11"/>
        <v>0</v>
      </c>
      <c r="U12" s="85">
        <v>0</v>
      </c>
      <c r="V12" s="84">
        <v>0</v>
      </c>
      <c r="W12" s="84">
        <f t="shared" si="7"/>
        <v>0</v>
      </c>
      <c r="X12" s="116">
        <f t="shared" si="2"/>
        <v>0</v>
      </c>
      <c r="Y12" s="116">
        <f t="shared" si="8"/>
        <v>0</v>
      </c>
      <c r="Z12" s="35"/>
      <c r="AA12" s="35"/>
      <c r="AB12" s="55"/>
      <c r="AC12" s="211"/>
      <c r="AD12" s="208"/>
      <c r="AE12" s="208"/>
      <c r="AF12" s="208"/>
      <c r="AG12" s="212"/>
      <c r="AH12" s="67"/>
      <c r="AI12" s="67"/>
      <c r="AJ12" s="67"/>
      <c r="AK12" s="67"/>
      <c r="AL12" s="67"/>
      <c r="AM12" s="67"/>
      <c r="AN12" s="64">
        <f t="shared" si="3"/>
        <v>0</v>
      </c>
      <c r="AO12" s="67"/>
    </row>
    <row r="13" spans="1:52" s="23" customFormat="1" ht="30.75" customHeight="1" thickBot="1">
      <c r="A13">
        <v>1</v>
      </c>
      <c r="B13">
        <v>1</v>
      </c>
      <c r="C13" s="31">
        <v>44409</v>
      </c>
      <c r="D13" s="83">
        <f t="shared" ref="D13:D19" si="12">D12</f>
        <v>0</v>
      </c>
      <c r="E13" s="84">
        <v>0</v>
      </c>
      <c r="F13" s="84">
        <v>0</v>
      </c>
      <c r="G13" s="83">
        <f t="shared" ref="G13:G14" si="13">ROUND((D13+E13)*0.28,0)</f>
        <v>0</v>
      </c>
      <c r="H13" s="84">
        <f>ROUND((D13+E13)*AF9/100,0)</f>
        <v>0</v>
      </c>
      <c r="I13" s="84">
        <f t="shared" si="9"/>
        <v>0</v>
      </c>
      <c r="J13" s="83">
        <f t="shared" si="0"/>
        <v>0</v>
      </c>
      <c r="K13" s="119">
        <f t="shared" si="5"/>
        <v>0</v>
      </c>
      <c r="L13" s="83">
        <f t="shared" si="10"/>
        <v>0</v>
      </c>
      <c r="M13" s="84">
        <f t="shared" si="10"/>
        <v>0</v>
      </c>
      <c r="N13" s="87">
        <v>0</v>
      </c>
      <c r="O13" s="83">
        <f t="shared" si="6"/>
        <v>0</v>
      </c>
      <c r="P13" s="83">
        <f t="shared" si="6"/>
        <v>0</v>
      </c>
      <c r="Q13" s="84">
        <f t="shared" si="6"/>
        <v>0</v>
      </c>
      <c r="R13" s="84">
        <f t="shared" si="6"/>
        <v>0</v>
      </c>
      <c r="S13" s="84">
        <f t="shared" si="6"/>
        <v>0</v>
      </c>
      <c r="T13" s="83">
        <f t="shared" si="11"/>
        <v>0</v>
      </c>
      <c r="U13" s="85">
        <v>0</v>
      </c>
      <c r="V13" s="84">
        <v>0</v>
      </c>
      <c r="W13" s="84">
        <f t="shared" si="7"/>
        <v>0</v>
      </c>
      <c r="X13" s="116">
        <f t="shared" si="2"/>
        <v>0</v>
      </c>
      <c r="Y13" s="116">
        <f t="shared" si="8"/>
        <v>0</v>
      </c>
      <c r="Z13" s="35"/>
      <c r="AA13" s="35"/>
      <c r="AB13" s="55"/>
      <c r="AC13" s="213"/>
      <c r="AD13" s="214"/>
      <c r="AE13" s="214"/>
      <c r="AF13" s="214"/>
      <c r="AG13" s="215"/>
      <c r="AH13" s="66"/>
      <c r="AI13" s="66"/>
      <c r="AJ13" s="66"/>
      <c r="AK13" s="66"/>
      <c r="AL13" s="66"/>
      <c r="AM13" s="66"/>
      <c r="AN13" s="64">
        <f t="shared" si="3"/>
        <v>0</v>
      </c>
      <c r="AO13" s="66"/>
    </row>
    <row r="14" spans="1:52" s="23" customFormat="1" ht="30.75" customHeight="1">
      <c r="A14">
        <v>1</v>
      </c>
      <c r="B14">
        <v>1</v>
      </c>
      <c r="C14" s="31">
        <v>44440</v>
      </c>
      <c r="D14" s="83">
        <f t="shared" si="12"/>
        <v>0</v>
      </c>
      <c r="E14" s="84">
        <v>0</v>
      </c>
      <c r="F14" s="84">
        <v>0</v>
      </c>
      <c r="G14" s="83">
        <f t="shared" si="13"/>
        <v>0</v>
      </c>
      <c r="H14" s="84">
        <f>ROUND((D14+E14)*AF9/100,0)</f>
        <v>0</v>
      </c>
      <c r="I14" s="84">
        <f t="shared" si="9"/>
        <v>0</v>
      </c>
      <c r="J14" s="83">
        <f t="shared" si="0"/>
        <v>0</v>
      </c>
      <c r="K14" s="119">
        <f t="shared" si="5"/>
        <v>0</v>
      </c>
      <c r="L14" s="83">
        <f t="shared" si="10"/>
        <v>0</v>
      </c>
      <c r="M14" s="84">
        <f t="shared" si="10"/>
        <v>0</v>
      </c>
      <c r="N14" s="87">
        <v>0</v>
      </c>
      <c r="O14" s="83">
        <f t="shared" si="6"/>
        <v>0</v>
      </c>
      <c r="P14" s="83">
        <f t="shared" si="6"/>
        <v>0</v>
      </c>
      <c r="Q14" s="84">
        <f t="shared" si="6"/>
        <v>0</v>
      </c>
      <c r="R14" s="84">
        <f t="shared" si="6"/>
        <v>0</v>
      </c>
      <c r="S14" s="84">
        <f t="shared" si="6"/>
        <v>0</v>
      </c>
      <c r="T14" s="83">
        <f t="shared" si="11"/>
        <v>0</v>
      </c>
      <c r="U14" s="84">
        <v>0</v>
      </c>
      <c r="V14" s="84">
        <v>0</v>
      </c>
      <c r="W14" s="84">
        <f t="shared" si="7"/>
        <v>0</v>
      </c>
      <c r="X14" s="116">
        <f t="shared" si="2"/>
        <v>0</v>
      </c>
      <c r="Y14" s="116">
        <f t="shared" si="8"/>
        <v>0</v>
      </c>
      <c r="Z14" s="35"/>
      <c r="AA14" s="35"/>
      <c r="AB14" s="55"/>
      <c r="AH14" s="66"/>
      <c r="AI14" s="66"/>
      <c r="AJ14" s="66"/>
      <c r="AK14" s="66"/>
      <c r="AL14" s="66"/>
      <c r="AM14" s="66"/>
      <c r="AN14" s="64">
        <f t="shared" si="3"/>
        <v>0</v>
      </c>
      <c r="AO14" s="66"/>
    </row>
    <row r="15" spans="1:52" s="25" customFormat="1" ht="30.75" customHeight="1">
      <c r="A15">
        <v>1</v>
      </c>
      <c r="B15">
        <v>1</v>
      </c>
      <c r="C15" s="31">
        <v>44470</v>
      </c>
      <c r="D15" s="83">
        <f t="shared" si="12"/>
        <v>0</v>
      </c>
      <c r="E15" s="84">
        <v>0</v>
      </c>
      <c r="F15" s="83">
        <v>0</v>
      </c>
      <c r="G15" s="83">
        <f t="shared" ref="G15:G19" si="14">ROUND((D15+E15)*0.31,0)</f>
        <v>0</v>
      </c>
      <c r="H15" s="84">
        <f>ROUND((D15+E15)*$AF$9/100,0)</f>
        <v>0</v>
      </c>
      <c r="I15" s="84">
        <f t="shared" si="9"/>
        <v>0</v>
      </c>
      <c r="J15" s="83">
        <f t="shared" si="0"/>
        <v>0</v>
      </c>
      <c r="K15" s="120">
        <f t="shared" si="5"/>
        <v>0</v>
      </c>
      <c r="L15" s="83">
        <f t="shared" si="10"/>
        <v>0</v>
      </c>
      <c r="M15" s="84">
        <f t="shared" si="10"/>
        <v>0</v>
      </c>
      <c r="N15" s="87">
        <v>0</v>
      </c>
      <c r="O15" s="83">
        <f t="shared" si="6"/>
        <v>0</v>
      </c>
      <c r="P15" s="83">
        <f t="shared" si="6"/>
        <v>0</v>
      </c>
      <c r="Q15" s="84">
        <f t="shared" si="6"/>
        <v>0</v>
      </c>
      <c r="R15" s="84">
        <f t="shared" si="6"/>
        <v>0</v>
      </c>
      <c r="S15" s="84">
        <f t="shared" si="6"/>
        <v>0</v>
      </c>
      <c r="T15" s="83">
        <f t="shared" si="11"/>
        <v>0</v>
      </c>
      <c r="U15" s="84">
        <v>0</v>
      </c>
      <c r="V15" s="83">
        <v>0</v>
      </c>
      <c r="W15" s="84">
        <f t="shared" si="7"/>
        <v>0</v>
      </c>
      <c r="X15" s="117">
        <f t="shared" si="2"/>
        <v>0</v>
      </c>
      <c r="Y15" s="117">
        <f t="shared" si="8"/>
        <v>0</v>
      </c>
      <c r="Z15" s="35"/>
      <c r="AA15" s="35"/>
      <c r="AB15" s="55"/>
      <c r="AH15" s="68"/>
      <c r="AI15" s="68"/>
      <c r="AJ15" s="68"/>
      <c r="AK15" s="68"/>
      <c r="AL15" s="68"/>
      <c r="AM15" s="68"/>
      <c r="AN15" s="64">
        <f t="shared" si="3"/>
        <v>0</v>
      </c>
      <c r="AO15" s="68"/>
    </row>
    <row r="16" spans="1:52" s="25" customFormat="1" ht="30.75" customHeight="1">
      <c r="A16" s="104">
        <v>1</v>
      </c>
      <c r="B16" s="104">
        <v>1</v>
      </c>
      <c r="C16" s="31">
        <v>44501</v>
      </c>
      <c r="D16" s="83">
        <f t="shared" si="12"/>
        <v>0</v>
      </c>
      <c r="E16" s="83">
        <v>0</v>
      </c>
      <c r="F16" s="83">
        <v>0</v>
      </c>
      <c r="G16" s="83">
        <f t="shared" si="14"/>
        <v>0</v>
      </c>
      <c r="H16" s="84">
        <f>ROUND((D16+E16)*$AF$9/100,0)</f>
        <v>0</v>
      </c>
      <c r="I16" s="83">
        <f t="shared" si="9"/>
        <v>0</v>
      </c>
      <c r="J16" s="83">
        <f t="shared" si="0"/>
        <v>0</v>
      </c>
      <c r="K16" s="120">
        <f t="shared" si="5"/>
        <v>0</v>
      </c>
      <c r="L16" s="83">
        <f t="shared" si="10"/>
        <v>0</v>
      </c>
      <c r="M16" s="83">
        <f t="shared" si="10"/>
        <v>0</v>
      </c>
      <c r="N16" s="105">
        <v>0</v>
      </c>
      <c r="O16" s="83">
        <f t="shared" si="6"/>
        <v>0</v>
      </c>
      <c r="P16" s="83">
        <f t="shared" si="6"/>
        <v>0</v>
      </c>
      <c r="Q16" s="83">
        <f t="shared" si="6"/>
        <v>0</v>
      </c>
      <c r="R16" s="83">
        <f t="shared" si="6"/>
        <v>0</v>
      </c>
      <c r="S16" s="83">
        <f t="shared" si="6"/>
        <v>0</v>
      </c>
      <c r="T16" s="83">
        <f t="shared" si="11"/>
        <v>0</v>
      </c>
      <c r="U16" s="83">
        <v>0</v>
      </c>
      <c r="V16" s="83">
        <v>0</v>
      </c>
      <c r="W16" s="83">
        <f t="shared" si="7"/>
        <v>0</v>
      </c>
      <c r="X16" s="117">
        <f t="shared" si="2"/>
        <v>0</v>
      </c>
      <c r="Y16" s="117">
        <f t="shared" si="8"/>
        <v>0</v>
      </c>
      <c r="Z16" s="106"/>
      <c r="AA16" s="107"/>
      <c r="AB16" s="108"/>
      <c r="AC16" s="109"/>
      <c r="AH16" s="68"/>
      <c r="AI16" s="68"/>
      <c r="AJ16" s="68"/>
      <c r="AK16" s="68"/>
      <c r="AL16" s="68"/>
      <c r="AM16" s="68"/>
      <c r="AN16" s="64">
        <f>IF(D16&gt;23100,SUM(620),IF(D16&gt;100,SUM(320),SUM(0)))</f>
        <v>0</v>
      </c>
      <c r="AO16" s="68"/>
    </row>
    <row r="17" spans="1:41" s="25" customFormat="1" ht="30.75" customHeight="1">
      <c r="A17" s="104">
        <v>1</v>
      </c>
      <c r="B17" s="104">
        <v>1</v>
      </c>
      <c r="C17" s="31">
        <v>44531</v>
      </c>
      <c r="D17" s="83">
        <f t="shared" si="12"/>
        <v>0</v>
      </c>
      <c r="E17" s="83">
        <v>0</v>
      </c>
      <c r="F17" s="83">
        <v>0</v>
      </c>
      <c r="G17" s="83">
        <f t="shared" si="14"/>
        <v>0</v>
      </c>
      <c r="H17" s="84">
        <f>ROUND((D17+E17)*$AF$9/100,0)</f>
        <v>0</v>
      </c>
      <c r="I17" s="83">
        <f t="shared" si="9"/>
        <v>0</v>
      </c>
      <c r="J17" s="83">
        <f t="shared" si="0"/>
        <v>0</v>
      </c>
      <c r="K17" s="120">
        <f t="shared" si="5"/>
        <v>0</v>
      </c>
      <c r="L17" s="83">
        <f t="shared" si="10"/>
        <v>0</v>
      </c>
      <c r="M17" s="83">
        <f t="shared" si="10"/>
        <v>0</v>
      </c>
      <c r="N17" s="105">
        <v>0</v>
      </c>
      <c r="O17" s="83">
        <f t="shared" si="6"/>
        <v>0</v>
      </c>
      <c r="P17" s="83">
        <f t="shared" si="6"/>
        <v>0</v>
      </c>
      <c r="Q17" s="83">
        <f t="shared" si="6"/>
        <v>0</v>
      </c>
      <c r="R17" s="83">
        <f t="shared" si="6"/>
        <v>0</v>
      </c>
      <c r="S17" s="83">
        <f t="shared" si="6"/>
        <v>0</v>
      </c>
      <c r="T17" s="83">
        <f t="shared" si="11"/>
        <v>0</v>
      </c>
      <c r="U17" s="83">
        <v>0</v>
      </c>
      <c r="V17" s="83">
        <v>0</v>
      </c>
      <c r="W17" s="165">
        <v>0</v>
      </c>
      <c r="X17" s="117">
        <f t="shared" si="2"/>
        <v>0</v>
      </c>
      <c r="Y17" s="117">
        <f t="shared" si="8"/>
        <v>0</v>
      </c>
      <c r="Z17" s="106"/>
      <c r="AA17" s="107"/>
      <c r="AB17" s="108"/>
      <c r="AH17" s="68"/>
      <c r="AI17" s="68"/>
      <c r="AJ17" s="68"/>
      <c r="AK17" s="68"/>
      <c r="AL17" s="68"/>
      <c r="AM17" s="68"/>
      <c r="AN17" s="64">
        <f>IF(D17&gt;23100,SUM(620),IF(D17&gt;100,SUM(320),SUM(0)))</f>
        <v>0</v>
      </c>
      <c r="AO17" s="68"/>
    </row>
    <row r="18" spans="1:41" s="25" customFormat="1" ht="30.75" customHeight="1">
      <c r="A18" s="104">
        <v>1</v>
      </c>
      <c r="B18" s="104">
        <v>1</v>
      </c>
      <c r="C18" s="31">
        <v>44562</v>
      </c>
      <c r="D18" s="83">
        <f t="shared" si="12"/>
        <v>0</v>
      </c>
      <c r="E18" s="83">
        <v>0</v>
      </c>
      <c r="F18" s="83">
        <v>0</v>
      </c>
      <c r="G18" s="83">
        <f t="shared" si="14"/>
        <v>0</v>
      </c>
      <c r="H18" s="84">
        <f>ROUND((D18+E18)*$AF$9/100,0)</f>
        <v>0</v>
      </c>
      <c r="I18" s="83">
        <f t="shared" si="9"/>
        <v>0</v>
      </c>
      <c r="J18" s="83">
        <f t="shared" si="0"/>
        <v>0</v>
      </c>
      <c r="K18" s="120">
        <f t="shared" si="5"/>
        <v>0</v>
      </c>
      <c r="L18" s="83">
        <f t="shared" si="10"/>
        <v>0</v>
      </c>
      <c r="M18" s="83">
        <f t="shared" si="10"/>
        <v>0</v>
      </c>
      <c r="N18" s="105">
        <v>0</v>
      </c>
      <c r="O18" s="83">
        <f t="shared" si="6"/>
        <v>0</v>
      </c>
      <c r="P18" s="83">
        <f t="shared" si="6"/>
        <v>0</v>
      </c>
      <c r="Q18" s="83">
        <f t="shared" si="6"/>
        <v>0</v>
      </c>
      <c r="R18" s="83">
        <f t="shared" si="6"/>
        <v>0</v>
      </c>
      <c r="S18" s="83">
        <f t="shared" si="6"/>
        <v>0</v>
      </c>
      <c r="T18" s="83">
        <f t="shared" si="11"/>
        <v>0</v>
      </c>
      <c r="U18" s="83">
        <v>0</v>
      </c>
      <c r="V18" s="83">
        <v>0</v>
      </c>
      <c r="W18" s="165">
        <f>W17</f>
        <v>0</v>
      </c>
      <c r="X18" s="117">
        <f t="shared" si="2"/>
        <v>0</v>
      </c>
      <c r="Y18" s="117">
        <f t="shared" si="8"/>
        <v>0</v>
      </c>
      <c r="Z18" s="107"/>
      <c r="AA18" s="107"/>
      <c r="AB18" s="108"/>
      <c r="AH18" s="68"/>
      <c r="AI18" s="68"/>
      <c r="AJ18" s="68"/>
      <c r="AK18" s="68"/>
      <c r="AL18" s="68"/>
      <c r="AM18" s="68"/>
      <c r="AN18" s="64">
        <f>IF(D18&gt;23100,SUM(620),IF(D18&gt;100,SUM(320),SUM(0)))</f>
        <v>0</v>
      </c>
      <c r="AO18" s="68"/>
    </row>
    <row r="19" spans="1:41" s="25" customFormat="1" ht="30.75" customHeight="1">
      <c r="A19" s="104">
        <v>1</v>
      </c>
      <c r="B19" s="104">
        <v>1</v>
      </c>
      <c r="C19" s="31">
        <v>44593</v>
      </c>
      <c r="D19" s="83">
        <f t="shared" si="12"/>
        <v>0</v>
      </c>
      <c r="E19" s="83">
        <v>0</v>
      </c>
      <c r="F19" s="83">
        <v>0</v>
      </c>
      <c r="G19" s="83">
        <f t="shared" si="14"/>
        <v>0</v>
      </c>
      <c r="H19" s="84">
        <f>ROUND((D19+E19)*$AF$9/100,0)</f>
        <v>0</v>
      </c>
      <c r="I19" s="83">
        <f t="shared" si="9"/>
        <v>0</v>
      </c>
      <c r="J19" s="83">
        <f>IF($AF$9=(8),SUM(0),SUM(AN19))</f>
        <v>0</v>
      </c>
      <c r="K19" s="120">
        <f t="shared" si="5"/>
        <v>0</v>
      </c>
      <c r="L19" s="83">
        <f t="shared" si="10"/>
        <v>0</v>
      </c>
      <c r="M19" s="83">
        <f t="shared" si="10"/>
        <v>0</v>
      </c>
      <c r="N19" s="105">
        <v>0</v>
      </c>
      <c r="O19" s="83">
        <f t="shared" si="6"/>
        <v>0</v>
      </c>
      <c r="P19" s="83">
        <f t="shared" si="6"/>
        <v>0</v>
      </c>
      <c r="Q19" s="83">
        <f t="shared" si="6"/>
        <v>0</v>
      </c>
      <c r="R19" s="83">
        <f t="shared" si="6"/>
        <v>0</v>
      </c>
      <c r="S19" s="83">
        <f t="shared" si="6"/>
        <v>0</v>
      </c>
      <c r="T19" s="83">
        <f t="shared" si="11"/>
        <v>0</v>
      </c>
      <c r="U19" s="83">
        <v>0</v>
      </c>
      <c r="V19" s="83">
        <v>0</v>
      </c>
      <c r="W19" s="110">
        <v>0</v>
      </c>
      <c r="X19" s="117">
        <f t="shared" si="2"/>
        <v>0</v>
      </c>
      <c r="Y19" s="117">
        <f t="shared" si="8"/>
        <v>0</v>
      </c>
      <c r="Z19" s="107"/>
      <c r="AA19" s="107"/>
      <c r="AB19" s="108"/>
      <c r="AH19" s="68"/>
      <c r="AI19" s="68"/>
      <c r="AJ19" s="68"/>
      <c r="AK19" s="68"/>
      <c r="AL19" s="68"/>
      <c r="AM19" s="68"/>
      <c r="AN19" s="64">
        <f>IF(D19&gt;23100,SUM(620),IF(D19&gt;100,SUM(320),SUM(0)))</f>
        <v>0</v>
      </c>
      <c r="AO19" s="68"/>
    </row>
    <row r="20" spans="1:41" s="23" customFormat="1" ht="30.75" customHeight="1" thickBot="1">
      <c r="A20">
        <v>1</v>
      </c>
      <c r="B20">
        <v>1</v>
      </c>
      <c r="C20" s="33" t="s">
        <v>117</v>
      </c>
      <c r="D20" s="85">
        <v>0</v>
      </c>
      <c r="E20" s="85">
        <v>0</v>
      </c>
      <c r="F20" s="84">
        <v>0</v>
      </c>
      <c r="G20" s="86">
        <f>(ROUNDUP((D12*0.03),0))*0</f>
        <v>0</v>
      </c>
      <c r="H20" s="85">
        <v>0</v>
      </c>
      <c r="I20" s="85">
        <v>0</v>
      </c>
      <c r="J20" s="85">
        <v>0</v>
      </c>
      <c r="K20" s="119">
        <f t="shared" si="5"/>
        <v>0</v>
      </c>
      <c r="L20" s="84">
        <v>0</v>
      </c>
      <c r="M20" s="84">
        <v>0</v>
      </c>
      <c r="N20" s="87">
        <v>0</v>
      </c>
      <c r="O20" s="103">
        <f>K20</f>
        <v>0</v>
      </c>
      <c r="P20" s="84">
        <v>0</v>
      </c>
      <c r="Q20" s="84">
        <v>0</v>
      </c>
      <c r="R20" s="84">
        <v>0</v>
      </c>
      <c r="S20" s="84">
        <v>0</v>
      </c>
      <c r="T20" s="88">
        <v>0</v>
      </c>
      <c r="U20" s="84">
        <v>0</v>
      </c>
      <c r="V20" s="84">
        <v>0</v>
      </c>
      <c r="W20" s="84">
        <v>0</v>
      </c>
      <c r="X20" s="116">
        <f t="shared" si="2"/>
        <v>0</v>
      </c>
      <c r="Y20" s="116">
        <f t="shared" si="8"/>
        <v>0</v>
      </c>
      <c r="Z20" s="35"/>
      <c r="AA20" s="35"/>
      <c r="AB20" s="55"/>
      <c r="AH20" s="66"/>
      <c r="AI20" s="66"/>
      <c r="AJ20" s="66"/>
      <c r="AK20" s="66"/>
      <c r="AL20" s="66"/>
      <c r="AM20" s="66"/>
      <c r="AN20" s="64"/>
      <c r="AO20" s="66"/>
    </row>
    <row r="21" spans="1:41" s="23" customFormat="1" ht="30.75" customHeight="1">
      <c r="A21">
        <v>1</v>
      </c>
      <c r="B21">
        <v>1</v>
      </c>
      <c r="C21" s="33" t="s">
        <v>76</v>
      </c>
      <c r="D21" s="84">
        <v>0</v>
      </c>
      <c r="E21" s="85">
        <v>0</v>
      </c>
      <c r="F21" s="84">
        <v>0</v>
      </c>
      <c r="G21" s="103">
        <v>0</v>
      </c>
      <c r="H21" s="85">
        <v>0</v>
      </c>
      <c r="I21" s="85">
        <v>0</v>
      </c>
      <c r="J21" s="85">
        <v>0</v>
      </c>
      <c r="K21" s="119">
        <f t="shared" si="5"/>
        <v>0</v>
      </c>
      <c r="L21" s="84">
        <v>0</v>
      </c>
      <c r="M21" s="84">
        <v>0</v>
      </c>
      <c r="N21" s="87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8">
        <v>0</v>
      </c>
      <c r="U21" s="84">
        <v>0</v>
      </c>
      <c r="V21" s="84">
        <v>0</v>
      </c>
      <c r="W21" s="84">
        <v>0</v>
      </c>
      <c r="X21" s="116">
        <f t="shared" si="2"/>
        <v>0</v>
      </c>
      <c r="Y21" s="116">
        <f t="shared" si="8"/>
        <v>0</v>
      </c>
      <c r="Z21" s="35"/>
      <c r="AA21" s="35"/>
      <c r="AB21" s="56"/>
      <c r="AC21" s="228" t="s">
        <v>46</v>
      </c>
      <c r="AD21" s="229"/>
      <c r="AE21" s="229"/>
      <c r="AF21" s="229"/>
      <c r="AG21" s="230"/>
      <c r="AH21" s="66"/>
      <c r="AI21" s="66"/>
      <c r="AJ21" s="66"/>
      <c r="AK21" s="66"/>
      <c r="AL21" s="66"/>
      <c r="AM21" s="66"/>
      <c r="AN21" s="66"/>
      <c r="AO21" s="66"/>
    </row>
    <row r="22" spans="1:41" s="23" customFormat="1" ht="30.75" customHeight="1" thickBot="1">
      <c r="A22">
        <v>1</v>
      </c>
      <c r="B22">
        <v>1</v>
      </c>
      <c r="C22" s="37" t="s">
        <v>118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6">
        <v>0</v>
      </c>
      <c r="J22" s="85">
        <v>0</v>
      </c>
      <c r="K22" s="119">
        <f>D22+E22+F22+G22+H22+J22+I22</f>
        <v>0</v>
      </c>
      <c r="L22" s="84">
        <v>0</v>
      </c>
      <c r="M22" s="84">
        <v>0</v>
      </c>
      <c r="N22" s="87">
        <v>0</v>
      </c>
      <c r="O22" s="84">
        <f>ROUND((I22*0.5),0)</f>
        <v>0</v>
      </c>
      <c r="P22" s="84">
        <v>0</v>
      </c>
      <c r="Q22" s="84">
        <v>0</v>
      </c>
      <c r="R22" s="84">
        <v>0</v>
      </c>
      <c r="S22" s="84">
        <v>0</v>
      </c>
      <c r="T22" s="88">
        <v>0</v>
      </c>
      <c r="U22" s="84">
        <v>0</v>
      </c>
      <c r="V22" s="84">
        <v>0</v>
      </c>
      <c r="W22" s="84">
        <v>0</v>
      </c>
      <c r="X22" s="116">
        <f t="shared" si="2"/>
        <v>0</v>
      </c>
      <c r="Y22" s="116">
        <f t="shared" si="8"/>
        <v>0</v>
      </c>
      <c r="Z22" s="35"/>
      <c r="AA22" s="35"/>
      <c r="AB22" s="55"/>
      <c r="AC22" s="231"/>
      <c r="AD22" s="232"/>
      <c r="AE22" s="232"/>
      <c r="AF22" s="232"/>
      <c r="AG22" s="233"/>
      <c r="AH22" s="66"/>
      <c r="AI22" s="66"/>
      <c r="AJ22" s="66"/>
      <c r="AK22" s="66"/>
      <c r="AL22" s="66"/>
      <c r="AM22" s="66"/>
      <c r="AN22" s="66"/>
      <c r="AO22" s="66"/>
    </row>
    <row r="23" spans="1:41" s="23" customFormat="1" ht="30.75" customHeight="1" thickBot="1">
      <c r="A23">
        <v>1</v>
      </c>
      <c r="B23">
        <v>1</v>
      </c>
      <c r="C23" s="33" t="s">
        <v>119</v>
      </c>
      <c r="D23" s="85">
        <v>0</v>
      </c>
      <c r="E23" s="85">
        <v>0</v>
      </c>
      <c r="F23" s="84">
        <v>0</v>
      </c>
      <c r="G23" s="86">
        <v>0</v>
      </c>
      <c r="H23" s="85">
        <v>0</v>
      </c>
      <c r="I23" s="85">
        <v>0</v>
      </c>
      <c r="J23" s="85">
        <v>0</v>
      </c>
      <c r="K23" s="119">
        <f>D23+E23+F23+G23+H23+J23+I23</f>
        <v>0</v>
      </c>
      <c r="L23" s="84">
        <v>0</v>
      </c>
      <c r="M23" s="84">
        <v>0</v>
      </c>
      <c r="N23" s="87">
        <v>0</v>
      </c>
      <c r="O23" s="103">
        <f>K23</f>
        <v>0</v>
      </c>
      <c r="P23" s="84">
        <v>0</v>
      </c>
      <c r="Q23" s="84">
        <v>0</v>
      </c>
      <c r="R23" s="84">
        <v>0</v>
      </c>
      <c r="S23" s="84">
        <v>0</v>
      </c>
      <c r="T23" s="88">
        <v>0</v>
      </c>
      <c r="U23" s="84">
        <v>0</v>
      </c>
      <c r="V23" s="84">
        <v>0</v>
      </c>
      <c r="W23" s="84">
        <v>0</v>
      </c>
      <c r="X23" s="116">
        <f t="shared" si="2"/>
        <v>0</v>
      </c>
      <c r="Y23" s="116">
        <f t="shared" si="8"/>
        <v>0</v>
      </c>
      <c r="Z23" s="35"/>
      <c r="AA23" s="35"/>
      <c r="AB23" s="56"/>
      <c r="AC23" s="207" t="s">
        <v>55</v>
      </c>
      <c r="AD23" s="207"/>
      <c r="AE23" s="78">
        <v>0</v>
      </c>
      <c r="AF23" s="62" t="s">
        <v>22</v>
      </c>
      <c r="AH23" s="227"/>
      <c r="AI23" s="227"/>
      <c r="AJ23" s="69"/>
      <c r="AK23" s="66"/>
      <c r="AL23" s="66"/>
      <c r="AM23" s="66"/>
      <c r="AN23" s="66"/>
      <c r="AO23" s="66"/>
    </row>
    <row r="24" spans="1:41" s="23" customFormat="1" ht="30.75" customHeight="1">
      <c r="A24">
        <v>1</v>
      </c>
      <c r="B24">
        <v>1</v>
      </c>
      <c r="C24" s="33" t="s">
        <v>125</v>
      </c>
      <c r="D24" s="84">
        <v>0</v>
      </c>
      <c r="E24" s="84">
        <v>0</v>
      </c>
      <c r="F24" s="84">
        <v>0</v>
      </c>
      <c r="G24" s="86">
        <f>ROUNDUP((D13*0.01),0)*2</f>
        <v>0</v>
      </c>
      <c r="H24" s="84">
        <v>0</v>
      </c>
      <c r="I24" s="84">
        <v>0</v>
      </c>
      <c r="J24" s="84">
        <v>0</v>
      </c>
      <c r="K24" s="119">
        <f>D24+E24+F24+G24+H24+J24+I24</f>
        <v>0</v>
      </c>
      <c r="L24" s="84">
        <v>0</v>
      </c>
      <c r="M24" s="84">
        <v>0</v>
      </c>
      <c r="N24" s="87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8">
        <v>0</v>
      </c>
      <c r="U24" s="84">
        <v>0</v>
      </c>
      <c r="V24" s="84">
        <v>0</v>
      </c>
      <c r="W24" s="84">
        <v>0</v>
      </c>
      <c r="X24" s="116">
        <f t="shared" si="2"/>
        <v>0</v>
      </c>
      <c r="Y24" s="116">
        <f>K24-X24</f>
        <v>0</v>
      </c>
      <c r="Z24" s="35"/>
      <c r="AA24" s="35"/>
      <c r="AB24" s="55"/>
      <c r="AC24" s="208"/>
      <c r="AD24" s="208"/>
      <c r="AE24" s="47"/>
      <c r="AF24" s="42"/>
      <c r="AH24" s="66"/>
      <c r="AI24" s="70"/>
      <c r="AJ24" s="66"/>
      <c r="AK24" s="66"/>
      <c r="AL24" s="66"/>
      <c r="AM24" s="66"/>
      <c r="AN24" s="66"/>
      <c r="AO24" s="66"/>
    </row>
    <row r="25" spans="1:41" s="23" customFormat="1" ht="30.75" customHeight="1">
      <c r="A25">
        <v>1</v>
      </c>
      <c r="B25">
        <v>1</v>
      </c>
      <c r="C25" s="91" t="s">
        <v>54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119">
        <f>D25+E25+F25+G25+H25+J25+I25</f>
        <v>0</v>
      </c>
      <c r="L25" s="84">
        <v>0</v>
      </c>
      <c r="M25" s="84">
        <v>0</v>
      </c>
      <c r="N25" s="87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8">
        <v>0</v>
      </c>
      <c r="U25" s="84">
        <v>0</v>
      </c>
      <c r="V25" s="84">
        <v>0</v>
      </c>
      <c r="W25" s="84">
        <v>0</v>
      </c>
      <c r="X25" s="116">
        <f t="shared" si="2"/>
        <v>0</v>
      </c>
      <c r="Y25" s="116">
        <f>K25-X25</f>
        <v>0</v>
      </c>
      <c r="Z25" s="35"/>
      <c r="AA25" s="35"/>
      <c r="AB25" s="55"/>
      <c r="AC25" s="61"/>
      <c r="AD25" s="58"/>
      <c r="AE25" s="47"/>
      <c r="AF25" s="42"/>
      <c r="AH25" s="66"/>
      <c r="AI25" s="66"/>
      <c r="AJ25" s="66"/>
      <c r="AK25" s="66"/>
      <c r="AL25" s="66"/>
      <c r="AM25" s="66"/>
      <c r="AN25" s="66"/>
      <c r="AO25" s="66"/>
    </row>
    <row r="26" spans="1:41" s="23" customFormat="1" ht="25.5" customHeight="1">
      <c r="A26">
        <v>1</v>
      </c>
      <c r="B26">
        <v>1</v>
      </c>
      <c r="C26" s="32" t="s">
        <v>7</v>
      </c>
      <c r="D26" s="116">
        <f t="shared" ref="D26:Y26" si="15">SUM(D8:D25)</f>
        <v>0</v>
      </c>
      <c r="E26" s="116">
        <f t="shared" si="15"/>
        <v>0</v>
      </c>
      <c r="F26" s="116">
        <f t="shared" si="15"/>
        <v>0</v>
      </c>
      <c r="G26" s="116">
        <f t="shared" si="15"/>
        <v>0</v>
      </c>
      <c r="H26" s="116">
        <f t="shared" si="15"/>
        <v>0</v>
      </c>
      <c r="I26" s="116">
        <f t="shared" si="15"/>
        <v>0</v>
      </c>
      <c r="J26" s="116">
        <f t="shared" si="15"/>
        <v>0</v>
      </c>
      <c r="K26" s="116">
        <f t="shared" si="15"/>
        <v>0</v>
      </c>
      <c r="L26" s="116">
        <f t="shared" si="15"/>
        <v>0</v>
      </c>
      <c r="M26" s="116">
        <f t="shared" si="15"/>
        <v>0</v>
      </c>
      <c r="N26" s="118">
        <f t="shared" si="15"/>
        <v>0</v>
      </c>
      <c r="O26" s="116">
        <f t="shared" si="15"/>
        <v>0</v>
      </c>
      <c r="P26" s="116">
        <f t="shared" si="15"/>
        <v>0</v>
      </c>
      <c r="Q26" s="116">
        <f t="shared" si="15"/>
        <v>0</v>
      </c>
      <c r="R26" s="116">
        <f t="shared" si="15"/>
        <v>0</v>
      </c>
      <c r="S26" s="116">
        <f t="shared" si="15"/>
        <v>0</v>
      </c>
      <c r="T26" s="116">
        <f t="shared" si="15"/>
        <v>0</v>
      </c>
      <c r="U26" s="116">
        <f t="shared" si="15"/>
        <v>0</v>
      </c>
      <c r="V26" s="116">
        <f t="shared" si="15"/>
        <v>0</v>
      </c>
      <c r="W26" s="116">
        <f t="shared" si="15"/>
        <v>0</v>
      </c>
      <c r="X26" s="116">
        <f t="shared" si="15"/>
        <v>0</v>
      </c>
      <c r="Y26" s="116">
        <f t="shared" si="15"/>
        <v>0</v>
      </c>
      <c r="Z26" s="236"/>
      <c r="AA26" s="237"/>
      <c r="AB26" s="57"/>
      <c r="AC26" s="61"/>
      <c r="AD26" s="58"/>
      <c r="AE26" s="47"/>
      <c r="AF26" s="42"/>
      <c r="AH26" s="66"/>
      <c r="AI26" s="48"/>
      <c r="AJ26" s="66"/>
      <c r="AK26" s="66"/>
      <c r="AL26" s="66"/>
      <c r="AM26" s="66"/>
      <c r="AN26" s="66"/>
      <c r="AO26" s="66"/>
    </row>
    <row r="27" spans="1:41" ht="33.75" customHeight="1">
      <c r="A27">
        <v>1</v>
      </c>
      <c r="B27">
        <v>1</v>
      </c>
      <c r="C27" s="26"/>
      <c r="G27" s="42"/>
      <c r="H27" s="42"/>
      <c r="I27" s="42"/>
      <c r="J27" s="92" t="str">
        <f>IF((AE23)=0," ",(AC23))</f>
        <v xml:space="preserve"> </v>
      </c>
      <c r="K27" s="93" t="str">
        <f>IF((AE23)=0," ",(AE23))</f>
        <v xml:space="preserve"> </v>
      </c>
      <c r="L27" s="94" t="str">
        <f>IF((AE23)=0," ",(AF23))</f>
        <v xml:space="preserve"> </v>
      </c>
      <c r="M27" s="66"/>
      <c r="N27" s="42"/>
      <c r="O27" s="42"/>
      <c r="P27" s="42"/>
      <c r="Q27" s="42"/>
      <c r="R27" s="42"/>
      <c r="S27" s="42"/>
      <c r="W27" s="163">
        <f>W18</f>
        <v>0</v>
      </c>
      <c r="AC27" s="61"/>
      <c r="AD27" s="80"/>
      <c r="AE27" s="47"/>
      <c r="AF27" s="42"/>
      <c r="AH27" s="42"/>
      <c r="AI27" s="42"/>
      <c r="AJ27" s="42"/>
      <c r="AK27" s="42"/>
      <c r="AL27" s="42"/>
      <c r="AM27" s="42"/>
      <c r="AN27" s="42"/>
      <c r="AO27" s="42"/>
    </row>
    <row r="28" spans="1:41" ht="57" customHeight="1">
      <c r="A28">
        <v>1</v>
      </c>
      <c r="B28">
        <v>1</v>
      </c>
      <c r="C28" s="248" t="s">
        <v>56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38" t="s">
        <v>34</v>
      </c>
      <c r="Y28" s="238"/>
      <c r="Z28" s="238"/>
      <c r="AA28" s="238"/>
      <c r="AB28" s="45"/>
      <c r="AC28" s="61"/>
      <c r="AD28" s="58"/>
      <c r="AE28" s="47"/>
      <c r="AF28" s="42"/>
      <c r="AH28" s="42"/>
      <c r="AI28" s="42"/>
      <c r="AJ28" s="42"/>
      <c r="AK28" s="42"/>
      <c r="AL28" s="42"/>
      <c r="AM28" s="42"/>
      <c r="AN28" s="42"/>
      <c r="AO28" s="42"/>
    </row>
    <row r="29" spans="1:41" ht="24" customHeight="1">
      <c r="A29">
        <v>1</v>
      </c>
      <c r="B29">
        <v>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220"/>
      <c r="Y29" s="220"/>
      <c r="Z29" s="220"/>
      <c r="AA29" s="220"/>
      <c r="AB29" s="2"/>
      <c r="AC29" s="61"/>
      <c r="AD29" s="58"/>
      <c r="AE29" s="47"/>
      <c r="AF29" s="42"/>
      <c r="AH29" s="42"/>
      <c r="AI29" s="42"/>
      <c r="AJ29" s="42"/>
      <c r="AK29" s="42"/>
      <c r="AL29" s="42"/>
      <c r="AM29" s="42"/>
      <c r="AN29" s="42"/>
      <c r="AO29" s="42"/>
    </row>
    <row r="30" spans="1:41" ht="20.25" hidden="1" customHeight="1">
      <c r="A30">
        <v>1</v>
      </c>
      <c r="B30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"/>
      <c r="Z30" s="2"/>
      <c r="AA30" s="2"/>
      <c r="AB30" s="2"/>
      <c r="AC30" s="206" t="s">
        <v>20</v>
      </c>
      <c r="AD30" s="206"/>
      <c r="AE30" s="49">
        <f>AE23*12</f>
        <v>0</v>
      </c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20.25" hidden="1" customHeight="1">
      <c r="A31">
        <v>1</v>
      </c>
      <c r="B31">
        <v>1</v>
      </c>
      <c r="D31" s="245" t="s">
        <v>17</v>
      </c>
      <c r="E31" s="245"/>
      <c r="F31" s="245"/>
      <c r="G31" s="245"/>
      <c r="H31" s="15">
        <v>0</v>
      </c>
      <c r="I31" s="14" t="s">
        <v>22</v>
      </c>
      <c r="AC31" s="206" t="s">
        <v>18</v>
      </c>
      <c r="AD31" s="206"/>
      <c r="AE31" s="50">
        <f>AL31</f>
        <v>0</v>
      </c>
      <c r="AF31" s="50"/>
      <c r="AG31" s="42">
        <f>SUM(D8:D19)</f>
        <v>0</v>
      </c>
      <c r="AH31" s="42">
        <f>SUM(E8:E19)</f>
        <v>0</v>
      </c>
      <c r="AI31" s="42">
        <f>SUM(F8:F19)</f>
        <v>0</v>
      </c>
      <c r="AJ31" s="42">
        <f>SUM(G8:G19)</f>
        <v>0</v>
      </c>
      <c r="AK31" s="42">
        <f>G20+G23</f>
        <v>0</v>
      </c>
      <c r="AL31" s="71">
        <f>SUM(AG31:AK31)</f>
        <v>0</v>
      </c>
      <c r="AM31" s="42"/>
      <c r="AN31" s="42"/>
      <c r="AO31" s="42"/>
    </row>
    <row r="32" spans="1:41" ht="20.25" hidden="1" customHeight="1">
      <c r="A32">
        <v>1</v>
      </c>
      <c r="B32">
        <v>1</v>
      </c>
      <c r="E32" s="245" t="s">
        <v>20</v>
      </c>
      <c r="F32" s="245"/>
      <c r="G32" s="245"/>
      <c r="H32" s="15">
        <f>H31*12</f>
        <v>0</v>
      </c>
      <c r="AC32" s="206" t="s">
        <v>19</v>
      </c>
      <c r="AD32" s="206"/>
      <c r="AE32" s="49">
        <f>ROUND(AE31*0.1,0)</f>
        <v>0</v>
      </c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20.25" hidden="1" customHeight="1">
      <c r="A33">
        <v>1</v>
      </c>
      <c r="B33">
        <v>1</v>
      </c>
      <c r="E33" s="245" t="s">
        <v>18</v>
      </c>
      <c r="F33" s="245"/>
      <c r="G33" s="245"/>
      <c r="H33" s="239">
        <f>D26+E26+F26+G26</f>
        <v>0</v>
      </c>
      <c r="I33" s="239"/>
      <c r="AC33" s="234" t="s">
        <v>21</v>
      </c>
      <c r="AD33" s="234"/>
      <c r="AE33" s="48" t="str">
        <f>IF((AE30-AE32)&lt;=0,"0",SUM(AE30-AE32))</f>
        <v>0</v>
      </c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20.25" hidden="1" customHeight="1">
      <c r="A34">
        <v>1</v>
      </c>
      <c r="B34">
        <v>1</v>
      </c>
      <c r="D34" s="245" t="s">
        <v>19</v>
      </c>
      <c r="E34" s="245"/>
      <c r="F34" s="245"/>
      <c r="G34" s="245"/>
      <c r="H34" s="15">
        <f>ROUND(H33*0.1,0)</f>
        <v>0</v>
      </c>
      <c r="AC34" s="42"/>
      <c r="AD34" s="42"/>
      <c r="AE34" s="49">
        <f>IF(AE33&lt;H26,SUM(AE33),SUM(H26))</f>
        <v>0</v>
      </c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20.25" hidden="1" customHeight="1">
      <c r="A35">
        <v>1</v>
      </c>
      <c r="B35">
        <v>1</v>
      </c>
      <c r="F35" s="244" t="s">
        <v>21</v>
      </c>
      <c r="G35" s="244"/>
      <c r="H35" s="15" t="str">
        <f>IF((H32-H34)&lt;=0,"0",SUM(H32-H34))</f>
        <v>0</v>
      </c>
      <c r="AC35" s="51"/>
      <c r="AD35" s="52" t="s">
        <v>23</v>
      </c>
      <c r="AE35" s="52" t="str">
        <f>IF(AE33="0","0",SUM(AE34))</f>
        <v>0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0.5" hidden="1" customHeight="1">
      <c r="A36">
        <v>1</v>
      </c>
      <c r="B36">
        <v>1</v>
      </c>
      <c r="H36" s="15">
        <f>IF(H35&lt;H26,SUM(H35),SUM(H26))</f>
        <v>0</v>
      </c>
      <c r="AH36" s="42"/>
      <c r="AI36" s="42"/>
      <c r="AJ36" s="42"/>
      <c r="AK36" s="42"/>
      <c r="AL36" s="42"/>
      <c r="AM36" s="42"/>
      <c r="AN36" s="42"/>
      <c r="AO36" s="42"/>
    </row>
    <row r="37" spans="1:41" ht="10.5" hidden="1" customHeight="1">
      <c r="A37">
        <v>1</v>
      </c>
      <c r="B37">
        <v>1</v>
      </c>
      <c r="D37" s="243" t="s">
        <v>23</v>
      </c>
      <c r="E37" s="243"/>
      <c r="F37" s="243"/>
      <c r="G37" s="243"/>
      <c r="H37" s="27" t="str">
        <f>IF(H32=0,"0",SUM(H36))</f>
        <v>0</v>
      </c>
      <c r="AH37" s="42"/>
      <c r="AI37" s="42"/>
      <c r="AJ37" s="42"/>
      <c r="AK37" s="42"/>
      <c r="AL37" s="42"/>
      <c r="AM37" s="42"/>
      <c r="AN37" s="42"/>
      <c r="AO37" s="42"/>
    </row>
    <row r="38" spans="1:41" ht="10.5" hidden="1" customHeight="1">
      <c r="A38">
        <v>1</v>
      </c>
      <c r="B38">
        <v>1</v>
      </c>
      <c r="AH38" s="42"/>
      <c r="AI38" s="42"/>
      <c r="AJ38" s="42"/>
      <c r="AK38" s="42"/>
      <c r="AL38" s="42"/>
      <c r="AM38" s="42"/>
      <c r="AN38" s="42"/>
      <c r="AO38" s="42"/>
    </row>
    <row r="39" spans="1:41" ht="10.5" hidden="1" customHeight="1">
      <c r="A39">
        <v>1</v>
      </c>
      <c r="B39">
        <v>1</v>
      </c>
      <c r="AH39" s="42"/>
      <c r="AI39" s="42"/>
      <c r="AJ39" s="42"/>
      <c r="AK39" s="42"/>
      <c r="AL39" s="42"/>
      <c r="AM39" s="42"/>
      <c r="AN39" s="42"/>
      <c r="AO39" s="42"/>
    </row>
    <row r="40" spans="1:41" ht="10.5" hidden="1" customHeight="1">
      <c r="A40">
        <v>1</v>
      </c>
      <c r="B40">
        <v>1</v>
      </c>
      <c r="AH40" s="42"/>
      <c r="AI40" s="42"/>
      <c r="AJ40" s="42"/>
      <c r="AK40" s="42"/>
      <c r="AL40" s="42"/>
      <c r="AM40" s="42"/>
      <c r="AN40" s="42"/>
      <c r="AO40" s="42"/>
    </row>
    <row r="41" spans="1:41" ht="10.5" hidden="1" customHeight="1">
      <c r="A41">
        <v>1</v>
      </c>
      <c r="B41">
        <v>1</v>
      </c>
      <c r="AH41" s="42"/>
      <c r="AI41" s="42"/>
      <c r="AJ41" s="42"/>
      <c r="AK41" s="42"/>
      <c r="AL41" s="42"/>
      <c r="AM41" s="42"/>
      <c r="AN41" s="42"/>
      <c r="AO41" s="42"/>
    </row>
    <row r="42" spans="1:41" ht="10.5" hidden="1" customHeight="1">
      <c r="A42">
        <v>1</v>
      </c>
      <c r="B42">
        <v>1</v>
      </c>
      <c r="AH42" s="42"/>
      <c r="AI42" s="42"/>
      <c r="AJ42" s="42"/>
      <c r="AK42" s="42"/>
      <c r="AL42" s="42"/>
      <c r="AM42" s="42"/>
      <c r="AN42" s="42"/>
      <c r="AO42" s="42"/>
    </row>
    <row r="43" spans="1:41" ht="10.5" hidden="1" customHeight="1">
      <c r="A43">
        <v>1</v>
      </c>
      <c r="B43">
        <v>1</v>
      </c>
      <c r="AH43" s="42"/>
      <c r="AI43" s="42"/>
      <c r="AJ43" s="42"/>
      <c r="AK43" s="42"/>
      <c r="AL43" s="42"/>
      <c r="AM43" s="42"/>
      <c r="AN43" s="42"/>
      <c r="AO43" s="42"/>
    </row>
    <row r="44" spans="1:41" ht="10.5" hidden="1" customHeight="1">
      <c r="A44">
        <v>1</v>
      </c>
      <c r="B44">
        <v>1</v>
      </c>
      <c r="AH44" s="42"/>
      <c r="AI44" s="42"/>
      <c r="AJ44" s="42"/>
      <c r="AK44" s="42"/>
      <c r="AL44" s="42"/>
      <c r="AM44" s="42"/>
      <c r="AN44" s="42"/>
      <c r="AO44" s="42"/>
    </row>
    <row r="45" spans="1:41" ht="10.5" hidden="1" customHeight="1">
      <c r="A45">
        <v>1</v>
      </c>
      <c r="B45">
        <v>1</v>
      </c>
      <c r="AH45" s="42"/>
      <c r="AI45" s="42"/>
      <c r="AJ45" s="42"/>
      <c r="AK45" s="42"/>
      <c r="AL45" s="42"/>
      <c r="AM45" s="42"/>
      <c r="AN45" s="42"/>
      <c r="AO45" s="42"/>
    </row>
    <row r="46" spans="1:41" ht="10.5" hidden="1" customHeight="1">
      <c r="A46">
        <v>1</v>
      </c>
      <c r="B46">
        <v>1</v>
      </c>
      <c r="AH46" s="42"/>
      <c r="AI46" s="42"/>
      <c r="AJ46" s="42"/>
      <c r="AK46" s="42"/>
      <c r="AL46" s="42"/>
      <c r="AM46" s="42"/>
      <c r="AN46" s="42"/>
      <c r="AO46" s="42"/>
    </row>
    <row r="47" spans="1:41" ht="10.5" hidden="1" customHeight="1">
      <c r="A47">
        <v>1</v>
      </c>
      <c r="B47">
        <v>1</v>
      </c>
      <c r="AH47" s="42"/>
      <c r="AI47" s="42"/>
      <c r="AJ47" s="42"/>
      <c r="AK47" s="42"/>
      <c r="AL47" s="42"/>
      <c r="AM47" s="42"/>
      <c r="AN47" s="42"/>
      <c r="AO47" s="42"/>
    </row>
    <row r="48" spans="1:41" ht="10.5" hidden="1" customHeight="1">
      <c r="A48">
        <v>1</v>
      </c>
      <c r="B48">
        <v>1</v>
      </c>
      <c r="AH48" s="42"/>
      <c r="AI48" s="42"/>
      <c r="AJ48" s="42"/>
      <c r="AK48" s="42"/>
      <c r="AL48" s="42"/>
      <c r="AM48" s="42"/>
      <c r="AN48" s="42"/>
      <c r="AO48" s="42"/>
    </row>
    <row r="49" spans="1:41" ht="10.5" hidden="1" customHeight="1">
      <c r="A49">
        <v>1</v>
      </c>
      <c r="B49">
        <v>1</v>
      </c>
      <c r="AH49" s="42"/>
      <c r="AI49" s="42"/>
      <c r="AJ49" s="42"/>
      <c r="AK49" s="42"/>
      <c r="AL49" s="42"/>
      <c r="AM49" s="42"/>
      <c r="AN49" s="42"/>
      <c r="AO49" s="42"/>
    </row>
    <row r="50" spans="1:41" ht="10.5" hidden="1" customHeight="1">
      <c r="A50">
        <v>1</v>
      </c>
      <c r="B50">
        <v>1</v>
      </c>
      <c r="AH50" s="42"/>
      <c r="AI50" s="42"/>
      <c r="AJ50" s="42"/>
      <c r="AK50" s="42"/>
      <c r="AL50" s="42"/>
      <c r="AM50" s="42"/>
      <c r="AN50" s="42"/>
      <c r="AO50" s="42"/>
    </row>
    <row r="51" spans="1:41" ht="10.5" hidden="1" customHeight="1">
      <c r="A51">
        <v>1</v>
      </c>
      <c r="B51">
        <v>1</v>
      </c>
      <c r="AH51" s="42"/>
      <c r="AI51" s="42"/>
      <c r="AJ51" s="42"/>
      <c r="AK51" s="42"/>
      <c r="AL51" s="42"/>
      <c r="AM51" s="42"/>
      <c r="AN51" s="42"/>
      <c r="AO51" s="42"/>
    </row>
    <row r="52" spans="1:41" ht="10.5" hidden="1" customHeight="1">
      <c r="A52">
        <v>1</v>
      </c>
      <c r="B52">
        <v>1</v>
      </c>
      <c r="AH52" s="42"/>
      <c r="AI52" s="42"/>
      <c r="AJ52" s="42"/>
      <c r="AK52" s="42"/>
      <c r="AL52" s="42"/>
      <c r="AM52" s="42"/>
      <c r="AN52" s="42"/>
      <c r="AO52" s="42"/>
    </row>
    <row r="53" spans="1:41" ht="10.5" hidden="1" customHeight="1">
      <c r="A53">
        <v>1</v>
      </c>
      <c r="B53">
        <v>1</v>
      </c>
      <c r="AH53" s="42"/>
      <c r="AI53" s="42"/>
      <c r="AJ53" s="42"/>
      <c r="AK53" s="42"/>
      <c r="AL53" s="42"/>
      <c r="AM53" s="42"/>
      <c r="AN53" s="42"/>
      <c r="AO53" s="42"/>
    </row>
    <row r="54" spans="1:41" ht="10.5" hidden="1" customHeight="1">
      <c r="A54">
        <v>1</v>
      </c>
      <c r="B54">
        <v>1</v>
      </c>
      <c r="AH54" s="42"/>
      <c r="AI54" s="42"/>
      <c r="AJ54" s="42"/>
      <c r="AK54" s="42"/>
      <c r="AL54" s="42"/>
      <c r="AM54" s="42"/>
      <c r="AN54" s="42"/>
      <c r="AO54" s="42"/>
    </row>
    <row r="55" spans="1:41" ht="10.5" hidden="1" customHeight="1">
      <c r="A55">
        <v>1</v>
      </c>
      <c r="B55">
        <v>1</v>
      </c>
      <c r="AH55" s="42"/>
      <c r="AI55" s="42"/>
      <c r="AJ55" s="42"/>
      <c r="AK55" s="42"/>
      <c r="AL55" s="42"/>
      <c r="AM55" s="42"/>
      <c r="AN55" s="42"/>
      <c r="AO55" s="42"/>
    </row>
    <row r="56" spans="1:41" ht="10.5" hidden="1" customHeight="1">
      <c r="A56">
        <v>1</v>
      </c>
      <c r="B56">
        <v>1</v>
      </c>
      <c r="AH56" s="42"/>
      <c r="AI56" s="42"/>
      <c r="AJ56" s="42"/>
      <c r="AK56" s="42"/>
      <c r="AL56" s="42"/>
      <c r="AM56" s="42"/>
      <c r="AN56" s="42"/>
      <c r="AO56" s="42"/>
    </row>
    <row r="57" spans="1:41" ht="10.5" hidden="1" customHeight="1">
      <c r="A57">
        <v>1</v>
      </c>
      <c r="B57">
        <v>1</v>
      </c>
      <c r="AH57" s="42"/>
      <c r="AI57" s="42"/>
      <c r="AJ57" s="42"/>
      <c r="AK57" s="42"/>
      <c r="AL57" s="42"/>
      <c r="AM57" s="42"/>
      <c r="AN57" s="42"/>
      <c r="AO57" s="42"/>
    </row>
    <row r="58" spans="1:41" ht="10.5" hidden="1" customHeight="1">
      <c r="A58">
        <v>1</v>
      </c>
      <c r="B58">
        <v>1</v>
      </c>
      <c r="AH58" s="42"/>
      <c r="AI58" s="42"/>
      <c r="AJ58" s="42"/>
      <c r="AK58" s="42"/>
      <c r="AL58" s="42"/>
      <c r="AM58" s="42"/>
      <c r="AN58" s="42"/>
      <c r="AO58" s="42"/>
    </row>
    <row r="59" spans="1:41" ht="10.5" hidden="1" customHeight="1">
      <c r="A59">
        <v>1</v>
      </c>
      <c r="B59">
        <v>1</v>
      </c>
      <c r="AH59" s="42"/>
      <c r="AI59" s="42"/>
      <c r="AJ59" s="42"/>
      <c r="AK59" s="42"/>
      <c r="AL59" s="42"/>
      <c r="AM59" s="42"/>
      <c r="AN59" s="42"/>
      <c r="AO59" s="42"/>
    </row>
    <row r="60" spans="1:41" ht="18" customHeight="1">
      <c r="B60">
        <v>1</v>
      </c>
      <c r="AH60" s="42"/>
      <c r="AI60" s="42"/>
      <c r="AJ60" s="42"/>
      <c r="AK60" s="42"/>
      <c r="AL60" s="42"/>
      <c r="AM60" s="42"/>
      <c r="AN60" s="42"/>
      <c r="AO60" s="42"/>
    </row>
    <row r="61" spans="1:41" ht="18" customHeight="1">
      <c r="B61">
        <v>1</v>
      </c>
    </row>
    <row r="62" spans="1:41" ht="18" customHeight="1">
      <c r="B62">
        <v>1</v>
      </c>
    </row>
    <row r="63" spans="1:41" ht="18" customHeight="1">
      <c r="B63">
        <v>1</v>
      </c>
    </row>
    <row r="64" spans="1:41" ht="18" customHeight="1">
      <c r="B64">
        <v>1</v>
      </c>
    </row>
    <row r="65" spans="2:2" ht="18" customHeight="1">
      <c r="B65">
        <v>1</v>
      </c>
    </row>
    <row r="66" spans="2:2" ht="18" customHeight="1">
      <c r="B66">
        <v>1</v>
      </c>
    </row>
    <row r="67" spans="2:2" ht="18" customHeight="1">
      <c r="B67">
        <v>1</v>
      </c>
    </row>
    <row r="68" spans="2:2" ht="18" customHeight="1">
      <c r="B68">
        <v>1</v>
      </c>
    </row>
    <row r="69" spans="2:2" ht="18" customHeight="1">
      <c r="B69">
        <v>1</v>
      </c>
    </row>
    <row r="70" spans="2:2" ht="18" customHeight="1">
      <c r="B70">
        <v>1</v>
      </c>
    </row>
    <row r="71" spans="2:2" ht="18" customHeight="1">
      <c r="B71">
        <v>1</v>
      </c>
    </row>
    <row r="72" spans="2:2" ht="18" customHeight="1">
      <c r="B72">
        <v>1</v>
      </c>
    </row>
    <row r="73" spans="2:2" ht="18" customHeight="1">
      <c r="B73">
        <v>1</v>
      </c>
    </row>
    <row r="74" spans="2:2" ht="18" customHeight="1">
      <c r="B74">
        <v>1</v>
      </c>
    </row>
    <row r="75" spans="2:2" ht="18" customHeight="1">
      <c r="B75">
        <v>1</v>
      </c>
    </row>
    <row r="76" spans="2:2" ht="18" customHeight="1">
      <c r="B76">
        <v>1</v>
      </c>
    </row>
    <row r="77" spans="2:2" ht="18" customHeight="1">
      <c r="B77">
        <v>1</v>
      </c>
    </row>
    <row r="78" spans="2:2" ht="18" customHeight="1">
      <c r="B78">
        <v>1</v>
      </c>
    </row>
    <row r="79" spans="2:2" ht="18" customHeight="1">
      <c r="B79">
        <v>1</v>
      </c>
    </row>
    <row r="80" spans="2:2" ht="18" customHeight="1">
      <c r="B80">
        <v>1</v>
      </c>
    </row>
  </sheetData>
  <sheetProtection password="CCE3" sheet="1" objects="1" scenarios="1" formatCells="0" formatColumns="0" formatRows="0" insertColumns="0" insertRows="0" insertHyperlinks="0" deleteColumns="0" deleteRows="0" sort="0" autoFilter="0" pivotTables="0"/>
  <mergeCells count="53">
    <mergeCell ref="C1:AA1"/>
    <mergeCell ref="D37:G37"/>
    <mergeCell ref="F35:G35"/>
    <mergeCell ref="E33:G33"/>
    <mergeCell ref="Q6:R6"/>
    <mergeCell ref="D34:G34"/>
    <mergeCell ref="E32:G32"/>
    <mergeCell ref="F6:F7"/>
    <mergeCell ref="J6:J7"/>
    <mergeCell ref="I6:I7"/>
    <mergeCell ref="D31:G31"/>
    <mergeCell ref="C28:W28"/>
    <mergeCell ref="V6:V7"/>
    <mergeCell ref="D6:D7"/>
    <mergeCell ref="E6:E7"/>
    <mergeCell ref="L6:N6"/>
    <mergeCell ref="T6:T7"/>
    <mergeCell ref="AH23:AI23"/>
    <mergeCell ref="AC21:AG22"/>
    <mergeCell ref="G6:G7"/>
    <mergeCell ref="AC33:AD33"/>
    <mergeCell ref="Y6:Y7"/>
    <mergeCell ref="AD9:AE9"/>
    <mergeCell ref="Z26:AA26"/>
    <mergeCell ref="X29:AA29"/>
    <mergeCell ref="X28:AA28"/>
    <mergeCell ref="H33:I33"/>
    <mergeCell ref="AA6:AA7"/>
    <mergeCell ref="Z6:Z7"/>
    <mergeCell ref="AC32:AD32"/>
    <mergeCell ref="AD7:AG8"/>
    <mergeCell ref="AC30:AD30"/>
    <mergeCell ref="AC31:AD31"/>
    <mergeCell ref="AC23:AD24"/>
    <mergeCell ref="AC11:AG13"/>
    <mergeCell ref="O2:T2"/>
    <mergeCell ref="C3:F3"/>
    <mergeCell ref="K2:N2"/>
    <mergeCell ref="X2:Z2"/>
    <mergeCell ref="G3:H3"/>
    <mergeCell ref="I3:J3"/>
    <mergeCell ref="K3:O3"/>
    <mergeCell ref="T3:V3"/>
    <mergeCell ref="C4:D4"/>
    <mergeCell ref="W4:X4"/>
    <mergeCell ref="W6:W7"/>
    <mergeCell ref="X6:X7"/>
    <mergeCell ref="U6:U7"/>
    <mergeCell ref="S6:S7"/>
    <mergeCell ref="O6:P6"/>
    <mergeCell ref="H6:H7"/>
    <mergeCell ref="K6:K7"/>
    <mergeCell ref="C6:C7"/>
  </mergeCells>
  <phoneticPr fontId="0" type="noConversion"/>
  <dataValidations count="1">
    <dataValidation type="list" allowBlank="1" showInputMessage="1" showErrorMessage="1" sqref="AF9">
      <formula1>$AL$7:$AL$9</formula1>
    </dataValidation>
  </dataValidations>
  <pageMargins left="0.16" right="0.15748031496062992" top="0.19685039370078741" bottom="0.27559055118110237" header="7.874015748031496E-2" footer="0.27559055118110237"/>
  <pageSetup scale="72" orientation="landscape" r:id="rId1"/>
  <headerFooter alignWithMargins="0">
    <oddFooter>&amp;R1                          &amp;P</oddFooter>
  </headerFooter>
  <colBreaks count="1" manualBreakCount="1">
    <brk id="27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I.T.Cal</vt:lpstr>
      <vt:lpstr>GA55</vt:lpstr>
      <vt:lpstr>'GA55'!Print_Area</vt:lpstr>
      <vt:lpstr>I.T.Cal!Print_Area</vt:lpstr>
    </vt:vector>
  </TitlesOfParts>
  <Company>Moyal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2020-06-23T07:26:22Z</cp:lastPrinted>
  <dcterms:created xsi:type="dcterms:W3CDTF">2004-12-16T09:30:35Z</dcterms:created>
  <dcterms:modified xsi:type="dcterms:W3CDTF">2021-11-09T08:56:13Z</dcterms:modified>
</cp:coreProperties>
</file>